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P:\Community Development\Administration\Development Coordinator\References\Fee Calculators\"/>
    </mc:Choice>
  </mc:AlternateContent>
  <xr:revisionPtr revIDLastSave="0" documentId="13_ncr:1_{0F53B60D-4772-4A0A-AD16-3F9DDA5C414D}" xr6:coauthVersionLast="47" xr6:coauthVersionMax="47" xr10:uidLastSave="{00000000-0000-0000-0000-000000000000}"/>
  <bookViews>
    <workbookView xWindow="10305" yWindow="1650" windowWidth="23025" windowHeight="10575" xr2:uid="{F3394C98-94E7-401A-A235-2006D1440FD8}"/>
  </bookViews>
  <sheets>
    <sheet name="Calculator" sheetId="1" r:id="rId1"/>
    <sheet name="Instructions" sheetId="3" r:id="rId2"/>
    <sheet name="Data" sheetId="4" r:id="rId3"/>
  </sheets>
  <definedNames>
    <definedName name="Multi_Unit">Data!$M$13</definedName>
    <definedName name="No">Data!$K$16:$K$25</definedName>
    <definedName name="_xlnm.Print_Area" localSheetId="0">Calculator!$A$1:$C$22</definedName>
    <definedName name="ProjectType">TypeDD[Project Type]</definedName>
    <definedName name="Residential">Data!$M$3:$M$10</definedName>
    <definedName name="tap">Data!$M$13</definedName>
    <definedName name="TapsDD">Table2[Tap Size]</definedName>
    <definedName name="UnitsDD">Table6[Units per Acre]</definedName>
    <definedName name="WaterDistrictDD">DistrictDD[Waste District]</definedName>
    <definedName name="Yes">Data!$L$16:$L$17</definedName>
    <definedName name="YesNo">Table1[Y/N]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 i="4" l="1"/>
  <c r="G13" i="4" a="1"/>
  <c r="G13" i="4" s="1"/>
  <c r="I16" i="4"/>
  <c r="I17" i="4"/>
  <c r="I18" i="4"/>
  <c r="I15" i="4"/>
  <c r="F21" i="4" s="1"/>
  <c r="F23" i="4" l="1" a="1"/>
  <c r="F23" i="4" s="1"/>
  <c r="F27" i="4" a="1"/>
  <c r="F27" i="4" s="1"/>
  <c r="F26" i="4" a="1"/>
  <c r="F26" i="4" s="1"/>
  <c r="F22" i="4" a="1"/>
  <c r="F22" i="4" s="1"/>
  <c r="F24" i="4" a="1"/>
  <c r="F24" i="4" s="1"/>
  <c r="F25" i="4" a="1"/>
  <c r="F25" i="4" s="1"/>
  <c r="I14" i="4"/>
  <c r="I11" i="4"/>
  <c r="I12" i="4"/>
  <c r="I13" i="4"/>
  <c r="I10" i="4"/>
  <c r="I9" i="4" l="1"/>
  <c r="I8" i="4"/>
  <c r="I7" i="4"/>
  <c r="I6" i="4"/>
  <c r="I5" i="4"/>
  <c r="I4" i="4"/>
  <c r="I3" i="4"/>
  <c r="I2" i="4"/>
  <c r="J5" i="4" l="1"/>
  <c r="G7" i="4" a="1"/>
  <c r="G7" i="4" s="1"/>
  <c r="H23" i="4" s="1" a="1"/>
  <c r="H23" i="4" s="1"/>
  <c r="G3" i="4"/>
  <c r="G14" i="4"/>
  <c r="G8" i="4" a="1"/>
  <c r="G8" i="4" s="1"/>
  <c r="G9" i="4" a="1"/>
  <c r="G9" i="4" s="1"/>
  <c r="G16" i="4"/>
  <c r="J11" i="4"/>
  <c r="G15" i="4"/>
  <c r="J7" i="4"/>
  <c r="J9" i="4"/>
  <c r="G12" i="4" a="1"/>
  <c r="G12" i="4" s="1"/>
  <c r="G6" i="4" a="1"/>
  <c r="G6" i="4" s="1"/>
  <c r="G10" i="4" a="1"/>
  <c r="G10" i="4" s="1"/>
  <c r="G5" i="4" a="1"/>
  <c r="G5" i="4" s="1"/>
  <c r="G11" i="4" a="1"/>
  <c r="G11" i="4" s="1"/>
  <c r="H21" i="4" l="1" a="1"/>
  <c r="H21" i="4" s="1"/>
  <c r="G21" i="4" a="1"/>
  <c r="G21" i="4" s="1"/>
  <c r="G23" i="4" a="1"/>
  <c r="G23" i="4" s="1"/>
  <c r="G27" i="4" a="1"/>
  <c r="G27" i="4" s="1"/>
  <c r="H27" i="4" a="1"/>
  <c r="H27" i="4" s="1"/>
  <c r="G25" i="4" a="1"/>
  <c r="G25" i="4" s="1"/>
  <c r="H25" i="4" a="1"/>
  <c r="H25" i="4" s="1"/>
  <c r="G24" i="4" a="1"/>
  <c r="G24" i="4" s="1"/>
  <c r="H24" i="4" a="1"/>
  <c r="H24" i="4" s="1"/>
  <c r="G26" i="4" a="1"/>
  <c r="G26" i="4" s="1"/>
  <c r="H26" i="4" a="1"/>
  <c r="H26" i="4" s="1"/>
  <c r="G22" i="4" a="1"/>
  <c r="G22" i="4" s="1"/>
  <c r="H22" i="4" a="1"/>
  <c r="H22" i="4" s="1"/>
  <c r="G4" i="4"/>
  <c r="G17" i="4" s="1"/>
  <c r="H28" i="4" l="1"/>
  <c r="G28" i="4"/>
  <c r="G18" i="4" s="1"/>
  <c r="B2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<sst xmlns="http://schemas.openxmlformats.org/spreadsheetml/2006/main" count="422" uniqueCount="228">
  <si>
    <t>Water Tap Size (inches):</t>
  </si>
  <si>
    <t>Number of Taps:</t>
  </si>
  <si>
    <t>Number of Units:</t>
  </si>
  <si>
    <t>Valuation:</t>
  </si>
  <si>
    <t>Y/N</t>
  </si>
  <si>
    <t>Yes</t>
  </si>
  <si>
    <t>No</t>
  </si>
  <si>
    <t>Lochbuie</t>
  </si>
  <si>
    <t>Units:</t>
  </si>
  <si>
    <t>Total Estimate:</t>
  </si>
  <si>
    <t>Residential:</t>
  </si>
  <si>
    <t>Multi-Unit</t>
  </si>
  <si>
    <t>Multi-Unit:</t>
  </si>
  <si>
    <t>Total Valuation:</t>
  </si>
  <si>
    <t>Tap Size:</t>
  </si>
  <si>
    <t>Water Dedication?</t>
  </si>
  <si>
    <t>Dedication?</t>
  </si>
  <si>
    <t>Units per Acre:</t>
  </si>
  <si>
    <t>0 to 3</t>
  </si>
  <si>
    <t>&gt; 4 to 5</t>
  </si>
  <si>
    <t>&gt; 3 to 4</t>
  </si>
  <si>
    <t>&gt; 5 to 6</t>
  </si>
  <si>
    <t>&gt; 6 to 7</t>
  </si>
  <si>
    <t>&gt; 7 to 9</t>
  </si>
  <si>
    <t>&gt; 9 to 10</t>
  </si>
  <si>
    <t>&gt; 10 to 11</t>
  </si>
  <si>
    <t>Units per Acre</t>
  </si>
  <si>
    <t>NA</t>
  </si>
  <si>
    <t>&gt; 11</t>
  </si>
  <si>
    <t>Fields</t>
  </si>
  <si>
    <t>Categories</t>
  </si>
  <si>
    <t>Transportation &amp; Multimodal</t>
  </si>
  <si>
    <t>Parks</t>
  </si>
  <si>
    <t>Residential</t>
  </si>
  <si>
    <t>Project Type</t>
  </si>
  <si>
    <t>Project Type?</t>
  </si>
  <si>
    <r>
      <rPr>
        <b/>
        <sz val="14"/>
        <color theme="1"/>
        <rFont val="Century Gothic"/>
        <family val="2"/>
      </rPr>
      <t>City of Brighton Adopted Fee Regulations:</t>
    </r>
    <r>
      <rPr>
        <sz val="14"/>
        <color theme="1"/>
        <rFont val="Century Gothic"/>
        <family val="2"/>
      </rPr>
      <t xml:space="preserve"> https://www.brightonco.gov/1218/Adopted-Fee-Regulations</t>
    </r>
  </si>
  <si>
    <t>Tap Size</t>
  </si>
  <si>
    <t>Waste District</t>
  </si>
  <si>
    <t>Enter the total number of units you would like calculated for this project.</t>
  </si>
  <si>
    <t>Enter the number of taps you will be using for this project.</t>
  </si>
  <si>
    <t>If you are providing a water dedication, select Yes from the dropdown menu.  If you are not providing a water dedication, select No.</t>
  </si>
  <si>
    <t>Additional Questions:</t>
  </si>
  <si>
    <t>Water Tap Size:</t>
  </si>
  <si>
    <t>Residential &amp; Multi-Unit:</t>
  </si>
  <si>
    <t>per unit</t>
  </si>
  <si>
    <t>Nonresidential Office:</t>
  </si>
  <si>
    <t>Nonresidential Commercial or Retail:</t>
  </si>
  <si>
    <t>per square foot</t>
  </si>
  <si>
    <t>Nonresidential Industrial or Warehouse:</t>
  </si>
  <si>
    <t>1st Unit:</t>
  </si>
  <si>
    <t>0-3 Units per Acre</t>
  </si>
  <si>
    <t>&gt;3-4 Units per Acre</t>
  </si>
  <si>
    <t>&gt;4-5 Units per Acre</t>
  </si>
  <si>
    <t>&gt;5-6 Units per Acre</t>
  </si>
  <si>
    <t>&gt;7-9 Units per Acre</t>
  </si>
  <si>
    <t>&gt;9-10 Units per Acre</t>
  </si>
  <si>
    <t>&gt;10-11 Units per Acre</t>
  </si>
  <si>
    <t>&gt;11 Units per Acre</t>
  </si>
  <si>
    <t>&gt;6-7 Units per Acre</t>
  </si>
  <si>
    <t>Single Family</t>
  </si>
  <si>
    <t>1st Unit</t>
  </si>
  <si>
    <t>Nonresidential:</t>
  </si>
  <si>
    <t>South Beebe District?</t>
  </si>
  <si>
    <t>Fee</t>
  </si>
  <si>
    <t>Quantity</t>
  </si>
  <si>
    <t>Number of Units</t>
  </si>
  <si>
    <t>Type</t>
  </si>
  <si>
    <t>Dedication of Water Rights</t>
  </si>
  <si>
    <t xml:space="preserve"> Connection Fee</t>
  </si>
  <si>
    <t xml:space="preserve">City of Brighton Wastewater </t>
  </si>
  <si>
    <t>Connection Fee</t>
  </si>
  <si>
    <t xml:space="preserve">Storm Drainage Impact Fee (Outside of </t>
  </si>
  <si>
    <t>Use Tax</t>
  </si>
  <si>
    <t>South Beebe?</t>
  </si>
  <si>
    <t>Wastewater?</t>
  </si>
  <si>
    <t>Explanation</t>
  </si>
  <si>
    <t>CALCULATOR ENTRIES</t>
  </si>
  <si>
    <t>WaterDedication</t>
  </si>
  <si>
    <t>Standard</t>
  </si>
  <si>
    <t>Fee-in-Lieu</t>
  </si>
  <si>
    <t>Permit</t>
  </si>
  <si>
    <t>Total Estimate</t>
  </si>
  <si>
    <t>Drainage</t>
  </si>
  <si>
    <t>Valuation</t>
  </si>
  <si>
    <t>$1 to $500</t>
  </si>
  <si>
    <t>$501 to $2,000</t>
  </si>
  <si>
    <t>$2,001 to $25,000</t>
  </si>
  <si>
    <t>$25,001 to $50,000</t>
  </si>
  <si>
    <t>$50,001 to $100,000</t>
  </si>
  <si>
    <t>$100,001 to $500,000</t>
  </si>
  <si>
    <t>$500,001 to $1,000,000</t>
  </si>
  <si>
    <t>$1,000,001 and higher</t>
  </si>
  <si>
    <t>$23.50 for the first $500 plus $3.05 for each additional $100 or fraction thereof, up to and including $2,000.</t>
  </si>
  <si>
    <t>$69.25 for the first $2,000 plus $14 for each additional $1,000 or fraction thereof, up to and including $25,000</t>
  </si>
  <si>
    <t>$391.25 for the first $25,000 plus $10.10 for each additional $1,000 or fraction thereof, up to and including $50,000</t>
  </si>
  <si>
    <t>$643.75 for the first $50,000 plus $7 for each additional $1,000 or fraction thereof, up to and including $50,000</t>
  </si>
  <si>
    <t>$993.75 for the first $100,000 plus $5.60 for each additional $1,000 or fraction thereof, up to and including $500,000</t>
  </si>
  <si>
    <t>$3233.75 for the first $500,000 plus $4.75 for each additional $1,000 or fraction thereof, up to and including $1,000,000</t>
  </si>
  <si>
    <t>$5608.75 for the first $1,000,000 plus $3.15 for each additional $1,000 or fraction thereof</t>
  </si>
  <si>
    <t>Wastewater Connection</t>
  </si>
  <si>
    <t>Water Impact</t>
  </si>
  <si>
    <t>Nonresidential</t>
  </si>
  <si>
    <t>per acre-foot of water needed</t>
  </si>
  <si>
    <t xml:space="preserve"> </t>
  </si>
  <si>
    <t>Water Meter</t>
  </si>
  <si>
    <t>Wastewater District</t>
  </si>
  <si>
    <t>Based on tap size and project type</t>
  </si>
  <si>
    <t>Field</t>
  </si>
  <si>
    <t>If your project resides within the South Beebe Draw Metropolitan District, select Yes from the dropdown menu.  If your project resides outside of the South Beebe Draw Metropolitan District, select No from the dropdown menu.</t>
  </si>
  <si>
    <t>Using the dropdown menu, select the tap size for your project.  If there are additional tap sizes that will be used, re-run the calculator with the additional tap sizes and add the total estimates together for the combined total.</t>
  </si>
  <si>
    <t>DROPDOWN MENUS</t>
  </si>
  <si>
    <r>
      <t>(Residential per unit)</t>
    </r>
    <r>
      <rPr>
        <b/>
        <sz val="12"/>
        <color theme="1"/>
        <rFont val="Century Gothic"/>
        <family val="2"/>
      </rPr>
      <t>or</t>
    </r>
    <r>
      <rPr>
        <sz val="12"/>
        <color theme="1"/>
        <rFont val="Century Gothic"/>
        <family val="2"/>
      </rPr>
      <t>(Multi-unit per unit)</t>
    </r>
    <r>
      <rPr>
        <b/>
        <sz val="12"/>
        <color theme="1"/>
        <rFont val="Century Gothic"/>
        <family val="2"/>
      </rPr>
      <t>or</t>
    </r>
    <r>
      <rPr>
        <sz val="12"/>
        <color theme="1"/>
        <rFont val="Century Gothic"/>
        <family val="2"/>
      </rPr>
      <t>(Office per square foot)</t>
    </r>
    <r>
      <rPr>
        <b/>
        <sz val="12"/>
        <color theme="1"/>
        <rFont val="Century Gothic"/>
        <family val="2"/>
      </rPr>
      <t>or</t>
    </r>
    <r>
      <rPr>
        <sz val="12"/>
        <color theme="1"/>
        <rFont val="Century Gothic"/>
        <family val="2"/>
      </rPr>
      <t>(Commercial per square foot)</t>
    </r>
    <r>
      <rPr>
        <b/>
        <sz val="12"/>
        <color theme="1"/>
        <rFont val="Century Gothic"/>
        <family val="2"/>
      </rPr>
      <t>or</t>
    </r>
    <r>
      <rPr>
        <sz val="12"/>
        <color theme="1"/>
        <rFont val="Century Gothic"/>
        <family val="2"/>
      </rPr>
      <t>(Retail per square foot)</t>
    </r>
    <r>
      <rPr>
        <b/>
        <sz val="12"/>
        <color theme="1"/>
        <rFont val="Century Gothic"/>
        <family val="2"/>
      </rPr>
      <t>or</t>
    </r>
    <r>
      <rPr>
        <sz val="12"/>
        <color theme="1"/>
        <rFont val="Century Gothic"/>
        <family val="2"/>
      </rPr>
      <t>(Industrial per square foot)</t>
    </r>
  </si>
  <si>
    <r>
      <t>(Community Park Impact)</t>
    </r>
    <r>
      <rPr>
        <b/>
        <sz val="12"/>
        <color theme="1"/>
        <rFont val="Century Gothic"/>
        <family val="2"/>
      </rPr>
      <t>+</t>
    </r>
    <r>
      <rPr>
        <sz val="12"/>
        <color theme="1"/>
        <rFont val="Century Gothic"/>
        <family val="2"/>
      </rPr>
      <t>(Neighborhood Park Impact)</t>
    </r>
  </si>
  <si>
    <r>
      <t>(Residential per unit)</t>
    </r>
    <r>
      <rPr>
        <b/>
        <sz val="12"/>
        <color theme="1"/>
        <rFont val="Century Gothic"/>
        <family val="2"/>
      </rPr>
      <t>or</t>
    </r>
    <r>
      <rPr>
        <sz val="12"/>
        <color theme="1"/>
        <rFont val="Century Gothic"/>
        <family val="2"/>
      </rPr>
      <t>(Multi-unit per unit)</t>
    </r>
  </si>
  <si>
    <r>
      <t>If outside of South Beebe Draw Metropolitan District: (Residential per unit)</t>
    </r>
    <r>
      <rPr>
        <b/>
        <sz val="12"/>
        <color theme="1"/>
        <rFont val="Century Gothic"/>
        <family val="2"/>
      </rPr>
      <t>or</t>
    </r>
    <r>
      <rPr>
        <sz val="12"/>
        <color theme="1"/>
        <rFont val="Century Gothic"/>
        <family val="2"/>
      </rPr>
      <t>(Multi-unit per unit)</t>
    </r>
    <r>
      <rPr>
        <b/>
        <sz val="12"/>
        <color theme="1"/>
        <rFont val="Century Gothic"/>
        <family val="2"/>
      </rPr>
      <t>or</t>
    </r>
    <r>
      <rPr>
        <sz val="12"/>
        <color theme="1"/>
        <rFont val="Century Gothic"/>
        <family val="2"/>
      </rPr>
      <t>(Nonresidential per square foot)</t>
    </r>
  </si>
  <si>
    <t>Each Additional Unit:</t>
  </si>
  <si>
    <t>65% of Permit Fee</t>
  </si>
  <si>
    <t>per tap</t>
  </si>
  <si>
    <t>Based on tap size and number of taps within a wastewater district</t>
  </si>
  <si>
    <t xml:space="preserve">Water Impact IF Fee-In-Lieu of  </t>
  </si>
  <si>
    <t>If water is not dedicated: Fee-in-Lieu of Water Dedication by units per acre</t>
  </si>
  <si>
    <t>(Multi-Unit) [Page 53]</t>
  </si>
  <si>
    <t>(Residential &amp; Nonresidential) [Page 52]</t>
  </si>
  <si>
    <t>(Multi-Unit) [Page 52]</t>
  </si>
  <si>
    <t>per review</t>
  </si>
  <si>
    <t>Based on tap size, project type, and water dedication</t>
  </si>
  <si>
    <t>Water meter fee by number of taps</t>
  </si>
  <si>
    <t>FEES</t>
  </si>
  <si>
    <t>Water Impact Fee</t>
  </si>
  <si>
    <t>CALCULATIONS</t>
  </si>
  <si>
    <t>Plan Review</t>
  </si>
  <si>
    <t>Water Inspection</t>
  </si>
  <si>
    <t>Sewer Inspection</t>
  </si>
  <si>
    <t>Electrical Inspection</t>
  </si>
  <si>
    <t>RDS Processing</t>
  </si>
  <si>
    <r>
      <t>(Plan Review)</t>
    </r>
    <r>
      <rPr>
        <b/>
        <sz val="12"/>
        <color theme="1"/>
        <rFont val="Century Gothic"/>
        <family val="2"/>
      </rPr>
      <t>+</t>
    </r>
    <r>
      <rPr>
        <sz val="12"/>
        <color theme="1"/>
        <rFont val="Century Gothic"/>
        <family val="2"/>
      </rPr>
      <t>(Electrical Inspection)</t>
    </r>
    <r>
      <rPr>
        <b/>
        <sz val="12"/>
        <color theme="1"/>
        <rFont val="Century Gothic"/>
        <family val="2"/>
      </rPr>
      <t>+</t>
    </r>
    <r>
      <rPr>
        <sz val="12"/>
        <color theme="1"/>
        <rFont val="Century Gothic"/>
        <family val="2"/>
      </rPr>
      <t>(Water Inspection)</t>
    </r>
    <r>
      <rPr>
        <b/>
        <sz val="12"/>
        <color theme="1"/>
        <rFont val="Century Gothic"/>
        <family val="2"/>
      </rPr>
      <t>+</t>
    </r>
    <r>
      <rPr>
        <sz val="12"/>
        <color theme="1"/>
        <rFont val="Century Gothic"/>
        <family val="2"/>
      </rPr>
      <t>(Sewer Inspection)</t>
    </r>
    <r>
      <rPr>
        <b/>
        <sz val="12"/>
        <color theme="1"/>
        <rFont val="Century Gothic"/>
        <family val="2"/>
      </rPr>
      <t>+</t>
    </r>
    <r>
      <rPr>
        <sz val="12"/>
        <color theme="1"/>
        <rFont val="Century Gothic"/>
        <family val="2"/>
      </rPr>
      <t>(RDS Processing)</t>
    </r>
  </si>
  <si>
    <t>STANDARD</t>
  </si>
  <si>
    <t>Based on valuation</t>
  </si>
  <si>
    <t>Standard Fees [Page numbers referenced with Type]</t>
  </si>
  <si>
    <t>https://www.metrowaterrecovery.com/wp-content/uploads/2023/12/Rules-and-Regulations-7.2023.pdf</t>
  </si>
  <si>
    <t>South Beebe:</t>
  </si>
  <si>
    <t>https://www.brightonco.gov/579/Wastewater-Treatment-Plant</t>
  </si>
  <si>
    <t>https://www.brightonco.gov/FAQ/Topic?topic=21&amp;mobile=ON</t>
  </si>
  <si>
    <t>Reference Links</t>
  </si>
  <si>
    <t>Mastered Plan:</t>
  </si>
  <si>
    <t>Mastered Plan?</t>
  </si>
  <si>
    <t>Prairie Center?</t>
  </si>
  <si>
    <t>If your plan for this permit has been mastered, select Yes.  If your plan has not been mastered or you are unsure, select No.</t>
  </si>
  <si>
    <t>https://www.brightonco.gov/224/Planning-Zoning</t>
  </si>
  <si>
    <t>SBI Water</t>
  </si>
  <si>
    <t>SBI Wastewater</t>
  </si>
  <si>
    <t>SBI Wastewater?</t>
  </si>
  <si>
    <t>SBI Water?</t>
  </si>
  <si>
    <t>https://www.brightonco.gov/DocumentCenter/View/19466/2016-42-RESO---South-Brighton-Infrastructure-SBI-Fees</t>
  </si>
  <si>
    <t>South Brighton Wastewater Map:</t>
  </si>
  <si>
    <t>South Brighton Water Map:</t>
  </si>
  <si>
    <t>https://www.brightonco.gov/DocumentCenter/View/19465/South-Brighton-Infrastructure-Fee-Water-Map</t>
  </si>
  <si>
    <t>South Brighton Infrastructure Fee Resolution:</t>
  </si>
  <si>
    <t>Metro Water Recovery:</t>
  </si>
  <si>
    <t>Enter the number of units per acre only if you are not providing a water dedication.  If you are providing a water dedication, leave this field as NA.  If the project is Residential Multi-Unit, select Multi-Unit.</t>
  </si>
  <si>
    <t>Based on project location and Residential Units</t>
  </si>
  <si>
    <t>https://www.brightonco.gov/DocumentCenter/View/19464/South-Brighton-Infrastructure-Fee-Wastewater-Map</t>
  </si>
  <si>
    <r>
      <t xml:space="preserve">3.75% of 1/2 of Valuation </t>
    </r>
    <r>
      <rPr>
        <b/>
        <sz val="12"/>
        <color theme="1"/>
        <rFont val="Century Gothic"/>
        <family val="2"/>
      </rPr>
      <t>or</t>
    </r>
    <r>
      <rPr>
        <sz val="12"/>
        <color theme="1"/>
        <rFont val="Century Gothic"/>
        <family val="2"/>
      </rPr>
      <t xml:space="preserve"> 2.5% of 1/2 of Valuation if within Prairie Center</t>
    </r>
  </si>
  <si>
    <t>If your project resides within Prairie Center, select Yes.  If your project is outside of Prairie Center or you are unsure, select No.</t>
  </si>
  <si>
    <t>If your project connects to the water line within South Brighton Infrastructure, select Yes.  If your project does not connect to the South Brighton Infrastructure water line or you are unsure,  select No.</t>
  </si>
  <si>
    <t>If your project connects to the wastewater line within South Brighton Infrastructure, select Yes.  If your project does not connect to the wastewater line within South Brighton Infrastructure or you are unsure, select No.</t>
  </si>
  <si>
    <t>General Services</t>
  </si>
  <si>
    <t xml:space="preserve">Metro Water Recovery (MWR) </t>
  </si>
  <si>
    <t>per square foot of impervious surface area</t>
  </si>
  <si>
    <t>Metro Water Recovery</t>
  </si>
  <si>
    <t>Use Tax Exempt?</t>
  </si>
  <si>
    <t>Fee Reduction</t>
  </si>
  <si>
    <t>Senior Housing?</t>
  </si>
  <si>
    <t>Near a Park?</t>
  </si>
  <si>
    <t>% AMI Restriction:</t>
  </si>
  <si>
    <t>If the owner is exempt from use tax, select Yes.  If not, select No.</t>
  </si>
  <si>
    <t>If the project is senior affordable housing, select Yes.  If not, select No.</t>
  </si>
  <si>
    <t>If the location is within ten minutes walking distance from an existing or planned public park, select Yes.  If not, select No.</t>
  </si>
  <si>
    <t>From the dropdown menu, select the appropriate percent Area Median Income Restriction that applies to this project.</t>
  </si>
  <si>
    <t>Storm Drainage</t>
  </si>
  <si>
    <t>Reduced Total</t>
  </si>
  <si>
    <t>Based on owner Use Tax exemption eligibility</t>
  </si>
  <si>
    <t>Based on % AMI</t>
  </si>
  <si>
    <r>
      <t xml:space="preserve">Based on % AMI </t>
    </r>
    <r>
      <rPr>
        <b/>
        <sz val="12"/>
        <color theme="1"/>
        <rFont val="Century Gothic"/>
        <family val="2"/>
      </rPr>
      <t>&amp;</t>
    </r>
    <r>
      <rPr>
        <sz val="12"/>
        <color theme="1"/>
        <rFont val="Century Gothic"/>
        <family val="2"/>
      </rPr>
      <t xml:space="preserve"> proximity to an existing or planned park</t>
    </r>
  </si>
  <si>
    <t>Select a project type from the dropdown menu.  If your project is Residential Multi-Unit, change this field to Multi-Unit and change the Units per Acre field to Multi-Unit.</t>
  </si>
  <si>
    <t>Reduction ($)</t>
  </si>
  <si>
    <t>Reduction (%)</t>
  </si>
  <si>
    <t>Remaining ($)</t>
  </si>
  <si>
    <t>Total Reduction and Total Remaining</t>
  </si>
  <si>
    <t>Total Fees After All Reductions</t>
  </si>
  <si>
    <t>REDUCTION CALCULATIONS</t>
  </si>
  <si>
    <t>All Fees Without Reductions.</t>
  </si>
  <si>
    <r>
      <t xml:space="preserve">BE ADVISED: </t>
    </r>
    <r>
      <rPr>
        <sz val="18"/>
        <color theme="1"/>
        <rFont val="Century Gothic"/>
        <family val="2"/>
      </rPr>
      <t>This document is provided for informational purposes only and will not be used during the building permit process.  All figures provided by this calculator are estimates and subject to change without notice upon updates to the City of Brighton Fee Schedule.  This calculator does not include fees associated with the Brighton Fire District and/or the 27J School District.  The fees contained herein relate solely to Building Permits.  To verify you are using the most up-to-date version, or for any questions related to this calculator, contact the City of Brighton Development Coordinator at 303-655-2233.</t>
    </r>
  </si>
  <si>
    <t>Review Tips:</t>
  </si>
  <si>
    <t xml:space="preserve">Affordable Housing: </t>
  </si>
  <si>
    <t>https://brightonco.gov/3297/Affordable-Housing</t>
  </si>
  <si>
    <t>Enter the total valuation for the work covered under this permit, typically the combined cost of labor and materials.</t>
  </si>
  <si>
    <t>If you are interested in the formulas and data compilation, all information is available on the Data tab.  To review a formula used in the calculation, select that cell and the formula will be displayed toward the top of the page.  If information appears to be cut off in a cell, single click that cell and the complete text will display toward the top of the page.</t>
  </si>
  <si>
    <t>Wastewater District?</t>
  </si>
  <si>
    <t>Wastewater:</t>
  </si>
  <si>
    <t>If your wastewater services will be provided by Metro Water Recovery (MWR), and your project involves Single Family unit(s) select MWR Single Family; if your project is in MWR and not single family, choose MWR Not Single Family.  If your wastewater services will be provided by the Town of Lochbuie, select Lochbuie.</t>
  </si>
  <si>
    <r>
      <t xml:space="preserve">If you have any questions about the Fee Calculator or how to use it, contact Development Coordinator </t>
    </r>
    <r>
      <rPr>
        <b/>
        <sz val="12"/>
        <color theme="1"/>
        <rFont val="Century Gothic"/>
        <family val="2"/>
      </rPr>
      <t xml:space="preserve">Jon Waines.  </t>
    </r>
    <r>
      <rPr>
        <sz val="12"/>
        <color theme="1"/>
        <rFont val="Century Gothic"/>
        <family val="2"/>
      </rPr>
      <t>Phone: (</t>
    </r>
    <r>
      <rPr>
        <b/>
        <sz val="12"/>
        <color theme="1"/>
        <rFont val="Century Gothic"/>
        <family val="2"/>
      </rPr>
      <t xml:space="preserve">303)655-2233   </t>
    </r>
    <r>
      <rPr>
        <sz val="12"/>
        <color theme="1"/>
        <rFont val="Century Gothic"/>
        <family val="2"/>
      </rPr>
      <t xml:space="preserve">Email:  </t>
    </r>
    <r>
      <rPr>
        <b/>
        <sz val="12"/>
        <color theme="1"/>
        <rFont val="Century Gothic"/>
        <family val="2"/>
      </rPr>
      <t>jwaines@brightonco.gov</t>
    </r>
  </si>
  <si>
    <t>per 1st Unit</t>
  </si>
  <si>
    <t>per Each Additional Unit</t>
  </si>
  <si>
    <t>Permit Fee [Pages 11-12]</t>
  </si>
  <si>
    <t>Transportation &amp; Multimodal Impact Fee [Pages 48-49]</t>
  </si>
  <si>
    <t>Community Park Impact Fee [Page 48]</t>
  </si>
  <si>
    <t>Neighborhood Park Impact Fee [Page 48]</t>
  </si>
  <si>
    <t>General Services Impact Fee [Page 49]</t>
  </si>
  <si>
    <t>(Residential &amp; Nonresidential) [Page 49-50]</t>
  </si>
  <si>
    <t>Water Impact Fee (Multi-Unit) [Page 49-50]</t>
  </si>
  <si>
    <t>Water Meter/Tap Inspection [Page 49]</t>
  </si>
  <si>
    <t>Water Meter/Tap Re-Inspection [Page 49]</t>
  </si>
  <si>
    <t>Water Meter Fee [Page 49]</t>
  </si>
  <si>
    <t>(Residential &amp; Nonresidential) [Page 51-52]</t>
  </si>
  <si>
    <t>Wastewater Impact Fee [Page 51]</t>
  </si>
  <si>
    <t>Non-single-family Fee [Page 51-52]</t>
  </si>
  <si>
    <t>Town of Lochbuie Wastewater Impact Fee [Page 51]</t>
  </si>
  <si>
    <t>South Beebe Draw Metropolitan District) [Page 52-53]</t>
  </si>
  <si>
    <t>Fee-In-Lieu of Water Dedication [Page 50-51]</t>
  </si>
  <si>
    <t>Plan Review [Page 12-13]</t>
  </si>
  <si>
    <t>Electrical Inspection [Page 13]</t>
  </si>
  <si>
    <t>Sewer Inspection [Page 49]</t>
  </si>
  <si>
    <t>RDS Processing [Page 8]</t>
  </si>
  <si>
    <t>(06JAN2026)</t>
  </si>
  <si>
    <t>Guidance (06JAN2026)</t>
  </si>
  <si>
    <t>Effective Date: 06JAN2026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</si>
</sst>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s>
  <fonts count="18" x14ac:knownFonts="1">
    <font>
      <sz val="11"/>
      <color theme="1"/>
      <name val="Calibri"/>
      <family val="2"/>
      <scheme val="minor"/>
    </font>
    <font>
      <sz val="11"/>
      <color theme="1"/>
      <name val="Calibri"/>
      <family val="2"/>
      <scheme val="minor"/>
    </font>
    <font>
      <sz val="10"/>
      <name val="Times New Roman"/>
      <family val="1"/>
    </font>
    <font>
      <sz val="11"/>
      <color theme="1"/>
      <name val="Century Gothic"/>
      <family val="2"/>
    </font>
    <font>
      <sz val="16"/>
      <color theme="4" tint="-0.249977111117893"/>
      <name val="Century Gothic"/>
      <family val="2"/>
    </font>
    <font>
      <sz val="14"/>
      <color theme="1"/>
      <name val="Century Gothic"/>
      <family val="2"/>
    </font>
    <font>
      <b/>
      <sz val="14"/>
      <color theme="1"/>
      <name val="Century Gothic"/>
      <family val="2"/>
    </font>
    <font>
      <sz val="12"/>
      <color theme="1"/>
      <name val="Century Gothic"/>
      <family val="2"/>
    </font>
    <font>
      <b/>
      <sz val="12"/>
      <color theme="1"/>
      <name val="Century Gothic"/>
      <family val="2"/>
    </font>
    <font>
      <b/>
      <sz val="14"/>
      <color theme="4" tint="-0.499984740745262"/>
      <name val="Century Gothic"/>
      <family val="2"/>
    </font>
    <font>
      <sz val="12"/>
      <name val="Century Gothic"/>
      <family val="2"/>
    </font>
    <font>
      <b/>
      <sz val="12"/>
      <color theme="0"/>
      <name val="Century Gothic"/>
      <family val="2"/>
    </font>
    <font>
      <b/>
      <sz val="16"/>
      <color theme="4" tint="-0.499984740745262"/>
      <name val="Century Gothic"/>
      <family val="2"/>
    </font>
    <font>
      <b/>
      <sz val="12"/>
      <color theme="0" tint="-4.9989318521683403E-2"/>
      <name val="Century Gothic"/>
      <family val="2"/>
    </font>
    <font>
      <b/>
      <sz val="16"/>
      <color theme="0"/>
      <name val="Century Gothic"/>
      <family val="2"/>
    </font>
    <font>
      <sz val="12"/>
      <color theme="1"/>
      <name val="Calibri"/>
      <family val="2"/>
      <scheme val="minor"/>
    </font>
    <font>
      <b/>
      <sz val="18"/>
      <color theme="1"/>
      <name val="Century Gothic"/>
      <family val="2"/>
    </font>
    <font>
      <sz val="18"/>
      <color theme="1"/>
      <name val="Century Gothic"/>
      <family val="2"/>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1" tint="4.9989318521683403E-2"/>
        <bgColor indexed="64"/>
      </patternFill>
    </fill>
    <fill>
      <patternFill patternType="solid">
        <fgColor theme="4" tint="-0.499984740745262"/>
        <bgColor indexed="64"/>
      </patternFill>
    </fill>
    <fill>
      <patternFill patternType="solid">
        <fgColor rgb="FFFFFF00"/>
        <bgColor indexed="64"/>
      </patternFill>
    </fill>
    <fill>
      <patternFill patternType="solid">
        <fgColor theme="4" tint="-0.249977111117893"/>
        <bgColor indexed="64"/>
      </patternFill>
    </fill>
    <fill>
      <patternFill patternType="solid">
        <fgColor theme="2" tint="-0.89999084444715716"/>
        <bgColor indexed="64"/>
      </patternFill>
    </fill>
    <fill>
      <patternFill patternType="solid">
        <fgColor theme="1"/>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211">
    <xf numFmtId="0" fontId="0" fillId="0" borderId="0" xfId="0"/>
    <xf numFmtId="43" fontId="2" fillId="2" borderId="0" xfId="1" applyFont="1" applyFill="1" applyBorder="1" applyProtection="1"/>
    <xf numFmtId="0" fontId="2" fillId="2" borderId="0" xfId="0" applyFont="1" applyFill="1"/>
    <xf numFmtId="0" fontId="2" fillId="2" borderId="0" xfId="0" quotePrefix="1" applyFont="1" applyFill="1" applyAlignment="1">
      <alignment horizontal="center"/>
    </xf>
    <xf numFmtId="0" fontId="2" fillId="0" borderId="0" xfId="0" applyFont="1"/>
    <xf numFmtId="0" fontId="0" fillId="0" borderId="0" xfId="0" applyAlignment="1">
      <alignment horizontal="center" vertical="center" wrapText="1"/>
    </xf>
    <xf numFmtId="0" fontId="3" fillId="0" borderId="0" xfId="0" applyFont="1"/>
    <xf numFmtId="0" fontId="0" fillId="0" borderId="0" xfId="0" applyAlignment="1">
      <alignment horizontal="center" vertical="center"/>
    </xf>
    <xf numFmtId="0" fontId="7" fillId="0" borderId="9"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8" xfId="0" applyFont="1" applyBorder="1" applyAlignment="1">
      <alignment horizontal="center" vertical="center" wrapText="1"/>
    </xf>
    <xf numFmtId="0" fontId="0" fillId="0" borderId="25" xfId="0" applyBorder="1"/>
    <xf numFmtId="0" fontId="0" fillId="0" borderId="0" xfId="0" applyAlignment="1">
      <alignment horizontal="left"/>
    </xf>
    <xf numFmtId="0" fontId="8" fillId="0" borderId="25" xfId="0" applyFont="1" applyBorder="1" applyAlignment="1">
      <alignment vertical="center"/>
    </xf>
    <xf numFmtId="0" fontId="8" fillId="0" borderId="0" xfId="0" applyFont="1" applyAlignment="1">
      <alignment vertical="center"/>
    </xf>
    <xf numFmtId="0" fontId="7" fillId="0" borderId="14" xfId="0" applyFont="1" applyBorder="1" applyAlignment="1">
      <alignment horizontal="left" vertical="center" wrapText="1"/>
    </xf>
    <xf numFmtId="0" fontId="7" fillId="0" borderId="19" xfId="0" applyFont="1" applyBorder="1" applyAlignment="1">
      <alignment horizontal="left" vertical="center" wrapText="1"/>
    </xf>
    <xf numFmtId="0" fontId="7" fillId="0" borderId="10" xfId="0" applyFont="1" applyBorder="1" applyAlignment="1">
      <alignment horizontal="left" vertical="center" wrapText="1"/>
    </xf>
    <xf numFmtId="0" fontId="7" fillId="0" borderId="0" xfId="0" applyFont="1"/>
    <xf numFmtId="0" fontId="7" fillId="4" borderId="9" xfId="0" applyFont="1" applyFill="1" applyBorder="1" applyAlignment="1">
      <alignment horizontal="left"/>
    </xf>
    <xf numFmtId="0" fontId="7" fillId="4" borderId="2" xfId="0" applyFont="1" applyFill="1" applyBorder="1" applyAlignment="1">
      <alignment horizontal="left"/>
    </xf>
    <xf numFmtId="0" fontId="7" fillId="4" borderId="4" xfId="0" applyFont="1" applyFill="1" applyBorder="1" applyAlignment="1">
      <alignment horizontal="left"/>
    </xf>
    <xf numFmtId="0" fontId="7" fillId="3" borderId="11" xfId="0" applyFont="1" applyFill="1" applyBorder="1" applyAlignment="1">
      <alignment horizontal="left"/>
    </xf>
    <xf numFmtId="6" fontId="7" fillId="3" borderId="1" xfId="0" applyNumberFormat="1" applyFont="1" applyFill="1" applyBorder="1"/>
    <xf numFmtId="0" fontId="7" fillId="3" borderId="10" xfId="0" applyFont="1" applyFill="1" applyBorder="1"/>
    <xf numFmtId="0" fontId="7" fillId="3" borderId="9" xfId="0" applyFont="1" applyFill="1" applyBorder="1"/>
    <xf numFmtId="0" fontId="7" fillId="8" borderId="1" xfId="0" applyFont="1" applyFill="1" applyBorder="1" applyAlignment="1">
      <alignment horizontal="center"/>
    </xf>
    <xf numFmtId="0" fontId="7" fillId="0" borderId="1" xfId="0" applyFont="1" applyBorder="1"/>
    <xf numFmtId="0" fontId="7" fillId="0" borderId="1" xfId="0" applyFont="1" applyBorder="1" applyAlignment="1">
      <alignment horizontal="left"/>
    </xf>
    <xf numFmtId="0" fontId="7" fillId="3" borderId="16" xfId="0" applyFont="1" applyFill="1" applyBorder="1" applyAlignment="1">
      <alignment horizontal="left"/>
    </xf>
    <xf numFmtId="0" fontId="7" fillId="3" borderId="14" xfId="0" applyFont="1" applyFill="1" applyBorder="1"/>
    <xf numFmtId="8" fontId="7" fillId="3" borderId="2" xfId="0" applyNumberFormat="1" applyFont="1" applyFill="1" applyBorder="1" applyAlignment="1">
      <alignment horizontal="left"/>
    </xf>
    <xf numFmtId="0" fontId="7" fillId="3" borderId="2" xfId="0" applyFont="1" applyFill="1" applyBorder="1" applyAlignment="1">
      <alignment horizontal="left"/>
    </xf>
    <xf numFmtId="6" fontId="7" fillId="3" borderId="29" xfId="0" applyNumberFormat="1" applyFont="1" applyFill="1" applyBorder="1"/>
    <xf numFmtId="0" fontId="7" fillId="3" borderId="13" xfId="0" applyFont="1" applyFill="1" applyBorder="1"/>
    <xf numFmtId="164" fontId="7" fillId="3" borderId="10" xfId="0" applyNumberFormat="1" applyFont="1" applyFill="1" applyBorder="1"/>
    <xf numFmtId="164" fontId="7" fillId="3" borderId="14" xfId="0" applyNumberFormat="1" applyFont="1" applyFill="1" applyBorder="1"/>
    <xf numFmtId="164" fontId="7" fillId="3" borderId="35" xfId="0" applyNumberFormat="1" applyFont="1" applyFill="1" applyBorder="1"/>
    <xf numFmtId="164" fontId="7" fillId="3" borderId="1" xfId="0" applyNumberFormat="1" applyFont="1" applyFill="1" applyBorder="1"/>
    <xf numFmtId="164" fontId="7" fillId="3" borderId="29" xfId="0" applyNumberFormat="1" applyFont="1" applyFill="1" applyBorder="1"/>
    <xf numFmtId="0" fontId="7" fillId="3" borderId="1" xfId="0" applyFont="1" applyFill="1" applyBorder="1" applyAlignment="1">
      <alignment horizontal="center"/>
    </xf>
    <xf numFmtId="0" fontId="7" fillId="3" borderId="10" xfId="0" applyFont="1" applyFill="1" applyBorder="1" applyAlignment="1">
      <alignment horizontal="center"/>
    </xf>
    <xf numFmtId="0" fontId="7" fillId="4" borderId="9" xfId="0" applyFont="1" applyFill="1" applyBorder="1" applyAlignment="1">
      <alignment horizontal="center"/>
    </xf>
    <xf numFmtId="0" fontId="7" fillId="3" borderId="9" xfId="0" applyFont="1" applyFill="1" applyBorder="1" applyAlignment="1">
      <alignment horizontal="center"/>
    </xf>
    <xf numFmtId="0" fontId="7" fillId="3" borderId="18" xfId="0" applyFont="1" applyFill="1" applyBorder="1" applyAlignment="1">
      <alignment horizontal="center"/>
    </xf>
    <xf numFmtId="0" fontId="7" fillId="3" borderId="8" xfId="0" applyFont="1" applyFill="1" applyBorder="1" applyAlignment="1">
      <alignment horizontal="center"/>
    </xf>
    <xf numFmtId="0" fontId="7" fillId="3" borderId="19" xfId="0" applyFont="1" applyFill="1" applyBorder="1" applyAlignment="1">
      <alignment horizontal="center"/>
    </xf>
    <xf numFmtId="164" fontId="7" fillId="3" borderId="6" xfId="0" applyNumberFormat="1" applyFont="1" applyFill="1" applyBorder="1"/>
    <xf numFmtId="0" fontId="7" fillId="3" borderId="21" xfId="0" applyFont="1" applyFill="1" applyBorder="1"/>
    <xf numFmtId="0" fontId="7" fillId="3" borderId="20" xfId="0" applyFont="1" applyFill="1" applyBorder="1"/>
    <xf numFmtId="164" fontId="7" fillId="3" borderId="21" xfId="0" applyNumberFormat="1" applyFont="1" applyFill="1" applyBorder="1"/>
    <xf numFmtId="0" fontId="8" fillId="3" borderId="34" xfId="0" applyFont="1" applyFill="1" applyBorder="1"/>
    <xf numFmtId="3" fontId="7" fillId="4" borderId="10" xfId="0" applyNumberFormat="1" applyFont="1" applyFill="1" applyBorder="1" applyAlignment="1">
      <alignment horizontal="left"/>
    </xf>
    <xf numFmtId="4" fontId="7" fillId="4" borderId="10" xfId="0" applyNumberFormat="1" applyFont="1" applyFill="1" applyBorder="1" applyAlignment="1">
      <alignment horizontal="left"/>
    </xf>
    <xf numFmtId="4" fontId="7" fillId="4" borderId="14" xfId="0" applyNumberFormat="1" applyFont="1" applyFill="1" applyBorder="1" applyAlignment="1">
      <alignment horizontal="left"/>
    </xf>
    <xf numFmtId="0" fontId="7" fillId="4" borderId="2" xfId="0" applyFont="1" applyFill="1" applyBorder="1" applyAlignment="1">
      <alignment horizontal="center"/>
    </xf>
    <xf numFmtId="0" fontId="7" fillId="3" borderId="11" xfId="0" applyFont="1" applyFill="1" applyBorder="1" applyAlignment="1">
      <alignment horizontal="center"/>
    </xf>
    <xf numFmtId="0" fontId="7" fillId="3" borderId="2" xfId="0" applyFont="1" applyFill="1" applyBorder="1" applyAlignment="1">
      <alignment horizontal="center"/>
    </xf>
    <xf numFmtId="0" fontId="13" fillId="9" borderId="26" xfId="0" applyFont="1" applyFill="1" applyBorder="1"/>
    <xf numFmtId="0" fontId="13" fillId="9" borderId="27" xfId="0" applyFont="1" applyFill="1" applyBorder="1"/>
    <xf numFmtId="0" fontId="11" fillId="6" borderId="30" xfId="0" applyFont="1" applyFill="1" applyBorder="1"/>
    <xf numFmtId="0" fontId="8" fillId="3" borderId="26" xfId="0" applyFont="1" applyFill="1" applyBorder="1"/>
    <xf numFmtId="0" fontId="8" fillId="3" borderId="27" xfId="0" applyFont="1" applyFill="1" applyBorder="1"/>
    <xf numFmtId="0" fontId="8" fillId="3" borderId="28" xfId="0" applyFont="1" applyFill="1" applyBorder="1"/>
    <xf numFmtId="0" fontId="8" fillId="3" borderId="11" xfId="0" applyFont="1" applyFill="1" applyBorder="1"/>
    <xf numFmtId="0" fontId="8" fillId="3" borderId="3" xfId="0" applyFont="1" applyFill="1" applyBorder="1"/>
    <xf numFmtId="0" fontId="8" fillId="3" borderId="35" xfId="0" applyFont="1" applyFill="1" applyBorder="1"/>
    <xf numFmtId="0" fontId="8" fillId="3" borderId="30" xfId="0" applyFont="1" applyFill="1" applyBorder="1"/>
    <xf numFmtId="0" fontId="8" fillId="3" borderId="32" xfId="0" applyFont="1" applyFill="1" applyBorder="1"/>
    <xf numFmtId="0" fontId="8" fillId="3" borderId="33" xfId="0" applyFont="1" applyFill="1" applyBorder="1"/>
    <xf numFmtId="0" fontId="8" fillId="3" borderId="25" xfId="0" applyFont="1" applyFill="1" applyBorder="1"/>
    <xf numFmtId="0" fontId="8" fillId="3" borderId="22" xfId="0" applyFont="1" applyFill="1" applyBorder="1"/>
    <xf numFmtId="0" fontId="8" fillId="3" borderId="15" xfId="0" applyFont="1" applyFill="1" applyBorder="1"/>
    <xf numFmtId="0" fontId="8" fillId="3" borderId="7" xfId="0" applyFont="1" applyFill="1" applyBorder="1"/>
    <xf numFmtId="0" fontId="8" fillId="3" borderId="36" xfId="0" applyFont="1" applyFill="1" applyBorder="1"/>
    <xf numFmtId="0" fontId="8" fillId="3" borderId="37" xfId="0" applyFont="1" applyFill="1" applyBorder="1"/>
    <xf numFmtId="0" fontId="7" fillId="4" borderId="2" xfId="0" applyFont="1" applyFill="1" applyBorder="1"/>
    <xf numFmtId="0" fontId="7" fillId="4" borderId="4" xfId="0" applyFont="1" applyFill="1" applyBorder="1"/>
    <xf numFmtId="0" fontId="7" fillId="3" borderId="16" xfId="0" applyFont="1" applyFill="1" applyBorder="1"/>
    <xf numFmtId="0" fontId="7" fillId="3" borderId="11" xfId="0" applyFont="1" applyFill="1" applyBorder="1"/>
    <xf numFmtId="164" fontId="7" fillId="0" borderId="0" xfId="0" applyNumberFormat="1" applyFont="1"/>
    <xf numFmtId="0" fontId="7" fillId="3" borderId="31" xfId="0" applyFont="1" applyFill="1" applyBorder="1" applyAlignment="1">
      <alignment horizontal="left"/>
    </xf>
    <xf numFmtId="0" fontId="7" fillId="0" borderId="25" xfId="0" applyFont="1" applyBorder="1"/>
    <xf numFmtId="164" fontId="7" fillId="3" borderId="4" xfId="0" applyNumberFormat="1" applyFont="1" applyFill="1" applyBorder="1"/>
    <xf numFmtId="0" fontId="8" fillId="3" borderId="20" xfId="0" applyFont="1" applyFill="1" applyBorder="1"/>
    <xf numFmtId="0" fontId="7" fillId="3" borderId="18" xfId="0" applyFont="1" applyFill="1" applyBorder="1"/>
    <xf numFmtId="164" fontId="7" fillId="3" borderId="19" xfId="0" applyNumberFormat="1" applyFont="1" applyFill="1" applyBorder="1"/>
    <xf numFmtId="0" fontId="8" fillId="3" borderId="0" xfId="0" applyFont="1" applyFill="1"/>
    <xf numFmtId="0" fontId="7" fillId="3" borderId="39" xfId="0" applyFont="1" applyFill="1" applyBorder="1" applyAlignment="1">
      <alignment horizontal="center"/>
    </xf>
    <xf numFmtId="6" fontId="7" fillId="3" borderId="6" xfId="0" applyNumberFormat="1" applyFont="1" applyFill="1" applyBorder="1"/>
    <xf numFmtId="0" fontId="7" fillId="3" borderId="33" xfId="0" applyFont="1" applyFill="1" applyBorder="1"/>
    <xf numFmtId="0" fontId="7" fillId="3" borderId="22" xfId="0" applyFont="1" applyFill="1" applyBorder="1"/>
    <xf numFmtId="0" fontId="7" fillId="3" borderId="15" xfId="0" applyFont="1" applyFill="1" applyBorder="1"/>
    <xf numFmtId="0" fontId="8" fillId="0" borderId="0" xfId="0" applyFont="1"/>
    <xf numFmtId="0" fontId="7" fillId="0" borderId="0" xfId="0" applyFont="1" applyAlignment="1">
      <alignment vertical="center"/>
    </xf>
    <xf numFmtId="0" fontId="7" fillId="0" borderId="2" xfId="0" applyFont="1" applyBorder="1"/>
    <xf numFmtId="0" fontId="7" fillId="0" borderId="6" xfId="0" applyFont="1" applyBorder="1"/>
    <xf numFmtId="0" fontId="0" fillId="3" borderId="33" xfId="0" applyFill="1" applyBorder="1"/>
    <xf numFmtId="0" fontId="7" fillId="3" borderId="27" xfId="0" applyFont="1" applyFill="1" applyBorder="1"/>
    <xf numFmtId="0" fontId="7" fillId="3" borderId="28" xfId="0" applyFont="1" applyFill="1" applyBorder="1"/>
    <xf numFmtId="0" fontId="0" fillId="3" borderId="22" xfId="0" applyFill="1" applyBorder="1"/>
    <xf numFmtId="0" fontId="7" fillId="3" borderId="1" xfId="0" applyFont="1" applyFill="1" applyBorder="1" applyAlignment="1">
      <alignment horizontal="right"/>
    </xf>
    <xf numFmtId="0" fontId="11" fillId="6" borderId="32" xfId="0" applyFont="1" applyFill="1" applyBorder="1" applyAlignment="1">
      <alignment horizontal="center"/>
    </xf>
    <xf numFmtId="0" fontId="13" fillId="9" borderId="27" xfId="0" applyFont="1" applyFill="1" applyBorder="1" applyAlignment="1">
      <alignment horizontal="center" vertical="center"/>
    </xf>
    <xf numFmtId="0" fontId="11" fillId="10" borderId="0" xfId="0" applyFont="1" applyFill="1" applyAlignment="1">
      <alignment horizontal="center"/>
    </xf>
    <xf numFmtId="0" fontId="8" fillId="3" borderId="41" xfId="0" applyFont="1" applyFill="1" applyBorder="1"/>
    <xf numFmtId="0" fontId="8" fillId="3" borderId="38" xfId="0" applyFont="1" applyFill="1" applyBorder="1"/>
    <xf numFmtId="0" fontId="7" fillId="3" borderId="42" xfId="0" applyFont="1" applyFill="1" applyBorder="1"/>
    <xf numFmtId="0" fontId="8" fillId="3" borderId="43" xfId="0" applyFont="1" applyFill="1" applyBorder="1"/>
    <xf numFmtId="0" fontId="8" fillId="3" borderId="44" xfId="0" applyFont="1" applyFill="1" applyBorder="1"/>
    <xf numFmtId="0" fontId="0" fillId="3" borderId="45" xfId="0" applyFill="1" applyBorder="1"/>
    <xf numFmtId="0" fontId="7" fillId="3" borderId="40" xfId="0" applyFont="1" applyFill="1" applyBorder="1"/>
    <xf numFmtId="164" fontId="7" fillId="3" borderId="5" xfId="0" applyNumberFormat="1" applyFont="1" applyFill="1" applyBorder="1"/>
    <xf numFmtId="0" fontId="0" fillId="3" borderId="42" xfId="0" applyFill="1" applyBorder="1"/>
    <xf numFmtId="0" fontId="11" fillId="5" borderId="23" xfId="0" applyFont="1" applyFill="1" applyBorder="1" applyAlignment="1">
      <alignment horizontal="center" vertical="center"/>
    </xf>
    <xf numFmtId="0" fontId="11" fillId="5" borderId="24" xfId="0" applyFont="1" applyFill="1" applyBorder="1" applyAlignment="1">
      <alignment horizontal="center"/>
    </xf>
    <xf numFmtId="0" fontId="7" fillId="0" borderId="20" xfId="0" applyFont="1" applyBorder="1" applyAlignment="1">
      <alignment horizontal="center" vertical="center" wrapText="1"/>
    </xf>
    <xf numFmtId="0" fontId="7" fillId="0" borderId="21" xfId="0" applyFont="1" applyBorder="1" applyAlignment="1">
      <alignment horizontal="left" vertical="center" wrapText="1"/>
    </xf>
    <xf numFmtId="164" fontId="7" fillId="4" borderId="12" xfId="0" applyNumberFormat="1" applyFont="1" applyFill="1" applyBorder="1"/>
    <xf numFmtId="0" fontId="7" fillId="4" borderId="12" xfId="0" applyFont="1" applyFill="1" applyBorder="1"/>
    <xf numFmtId="164" fontId="7" fillId="4" borderId="17" xfId="0" applyNumberFormat="1" applyFont="1" applyFill="1" applyBorder="1"/>
    <xf numFmtId="0" fontId="7" fillId="3" borderId="2" xfId="0" applyFont="1" applyFill="1" applyBorder="1"/>
    <xf numFmtId="0" fontId="7" fillId="4" borderId="20" xfId="0" applyFont="1" applyFill="1" applyBorder="1" applyAlignment="1">
      <alignment horizontal="left"/>
    </xf>
    <xf numFmtId="0" fontId="7" fillId="4" borderId="46" xfId="0" applyFont="1" applyFill="1" applyBorder="1"/>
    <xf numFmtId="0" fontId="7" fillId="4" borderId="5" xfId="0" applyFont="1" applyFill="1" applyBorder="1"/>
    <xf numFmtId="0" fontId="11" fillId="6" borderId="32" xfId="0" applyFont="1" applyFill="1" applyBorder="1"/>
    <xf numFmtId="0" fontId="0" fillId="3" borderId="32" xfId="0" applyFill="1" applyBorder="1"/>
    <xf numFmtId="0" fontId="0" fillId="3" borderId="3" xfId="0" applyFill="1" applyBorder="1"/>
    <xf numFmtId="0" fontId="7" fillId="3" borderId="3" xfId="0" applyFont="1" applyFill="1" applyBorder="1"/>
    <xf numFmtId="8" fontId="7" fillId="3" borderId="47" xfId="0" applyNumberFormat="1" applyFont="1" applyFill="1" applyBorder="1" applyAlignment="1">
      <alignment horizontal="left"/>
    </xf>
    <xf numFmtId="0" fontId="7" fillId="4" borderId="11" xfId="0" applyFont="1" applyFill="1" applyBorder="1"/>
    <xf numFmtId="0" fontId="11" fillId="10" borderId="34" xfId="0" applyFont="1" applyFill="1" applyBorder="1" applyAlignment="1">
      <alignment horizontal="center" vertical="center"/>
    </xf>
    <xf numFmtId="0" fontId="0" fillId="10" borderId="35" xfId="0" applyFill="1" applyBorder="1"/>
    <xf numFmtId="0" fontId="7" fillId="0" borderId="9" xfId="0" applyFont="1" applyBorder="1" applyAlignment="1">
      <alignment horizontal="left" vertical="center"/>
    </xf>
    <xf numFmtId="0" fontId="7" fillId="0" borderId="10" xfId="0" applyFont="1" applyBorder="1"/>
    <xf numFmtId="0" fontId="7" fillId="0" borderId="13" xfId="0" applyFont="1" applyBorder="1" applyAlignment="1">
      <alignment horizontal="left" vertical="center"/>
    </xf>
    <xf numFmtId="0" fontId="7" fillId="0" borderId="14" xfId="0" applyFont="1" applyBorder="1"/>
    <xf numFmtId="0" fontId="7" fillId="4" borderId="40" xfId="0" applyFont="1" applyFill="1" applyBorder="1"/>
    <xf numFmtId="164" fontId="10" fillId="4" borderId="2" xfId="2" applyNumberFormat="1" applyFont="1" applyFill="1" applyBorder="1" applyAlignment="1" applyProtection="1">
      <alignment horizontal="right"/>
    </xf>
    <xf numFmtId="164" fontId="7" fillId="4" borderId="2" xfId="0" applyNumberFormat="1" applyFont="1" applyFill="1" applyBorder="1"/>
    <xf numFmtId="164" fontId="7" fillId="4" borderId="46" xfId="0" applyNumberFormat="1" applyFont="1" applyFill="1" applyBorder="1"/>
    <xf numFmtId="164" fontId="7" fillId="4" borderId="3" xfId="0" applyNumberFormat="1" applyFont="1" applyFill="1" applyBorder="1"/>
    <xf numFmtId="164" fontId="7" fillId="4" borderId="48" xfId="0" applyNumberFormat="1" applyFont="1" applyFill="1" applyBorder="1"/>
    <xf numFmtId="0" fontId="7" fillId="4" borderId="1" xfId="0" applyFont="1" applyFill="1" applyBorder="1"/>
    <xf numFmtId="0" fontId="13" fillId="9" borderId="34" xfId="0" applyFont="1" applyFill="1" applyBorder="1" applyAlignment="1">
      <alignment horizontal="left"/>
    </xf>
    <xf numFmtId="0" fontId="13" fillId="9" borderId="35" xfId="0" applyFont="1" applyFill="1" applyBorder="1"/>
    <xf numFmtId="0" fontId="7" fillId="4" borderId="9" xfId="0" applyFont="1" applyFill="1" applyBorder="1"/>
    <xf numFmtId="164" fontId="7" fillId="4" borderId="10" xfId="0" applyNumberFormat="1" applyFont="1" applyFill="1" applyBorder="1" applyAlignment="1">
      <alignment horizontal="left"/>
    </xf>
    <xf numFmtId="0" fontId="7" fillId="4" borderId="13" xfId="0" applyFont="1" applyFill="1" applyBorder="1"/>
    <xf numFmtId="0" fontId="11" fillId="8" borderId="1" xfId="0" applyFont="1" applyFill="1" applyBorder="1" applyAlignment="1">
      <alignment horizontal="center"/>
    </xf>
    <xf numFmtId="4" fontId="7" fillId="4" borderId="10" xfId="0" applyNumberFormat="1" applyFont="1" applyFill="1" applyBorder="1"/>
    <xf numFmtId="0" fontId="11" fillId="10" borderId="0" xfId="0" applyFont="1" applyFill="1"/>
    <xf numFmtId="0" fontId="7" fillId="10" borderId="0" xfId="0" applyFont="1" applyFill="1"/>
    <xf numFmtId="0" fontId="7" fillId="3" borderId="31" xfId="0" applyFont="1" applyFill="1" applyBorder="1"/>
    <xf numFmtId="0" fontId="7" fillId="4" borderId="1" xfId="0" applyFont="1" applyFill="1" applyBorder="1" applyAlignment="1">
      <alignment horizontal="center"/>
    </xf>
    <xf numFmtId="164" fontId="7" fillId="4" borderId="1" xfId="0" applyNumberFormat="1" applyFont="1" applyFill="1" applyBorder="1" applyAlignment="1">
      <alignment horizontal="center"/>
    </xf>
    <xf numFmtId="0" fontId="7" fillId="4" borderId="6" xfId="0" applyFont="1" applyFill="1" applyBorder="1"/>
    <xf numFmtId="0" fontId="7" fillId="4" borderId="6" xfId="0" applyFont="1" applyFill="1" applyBorder="1" applyAlignment="1">
      <alignment horizontal="center"/>
    </xf>
    <xf numFmtId="0" fontId="8" fillId="4" borderId="38" xfId="0" applyFont="1" applyFill="1" applyBorder="1"/>
    <xf numFmtId="0" fontId="7" fillId="3" borderId="46" xfId="0" applyFont="1" applyFill="1" applyBorder="1"/>
    <xf numFmtId="0" fontId="8" fillId="4" borderId="23" xfId="0" applyFont="1" applyFill="1" applyBorder="1" applyAlignment="1">
      <alignment horizontal="left"/>
    </xf>
    <xf numFmtId="164" fontId="8" fillId="4" borderId="49" xfId="0" applyNumberFormat="1" applyFont="1" applyFill="1" applyBorder="1"/>
    <xf numFmtId="0" fontId="8" fillId="7" borderId="23" xfId="0" applyFont="1" applyFill="1" applyBorder="1"/>
    <xf numFmtId="0" fontId="7" fillId="4" borderId="1" xfId="0" applyFont="1" applyFill="1" applyBorder="1" applyAlignment="1">
      <alignment horizontal="left"/>
    </xf>
    <xf numFmtId="0" fontId="7" fillId="4" borderId="6" xfId="0" applyFont="1" applyFill="1" applyBorder="1" applyAlignment="1">
      <alignment horizontal="left"/>
    </xf>
    <xf numFmtId="0" fontId="14" fillId="6" borderId="30" xfId="0" applyFont="1" applyFill="1" applyBorder="1" applyAlignment="1">
      <alignment horizontal="center" vertical="center"/>
    </xf>
    <xf numFmtId="0" fontId="14" fillId="6" borderId="33" xfId="0" applyFont="1" applyFill="1" applyBorder="1" applyAlignment="1">
      <alignment horizontal="center" vertical="center"/>
    </xf>
    <xf numFmtId="0" fontId="4" fillId="0" borderId="40" xfId="0" applyFont="1" applyBorder="1" applyAlignment="1">
      <alignment horizontal="left" vertical="center"/>
    </xf>
    <xf numFmtId="0" fontId="12" fillId="0" borderId="11" xfId="0" applyFont="1" applyBorder="1" applyAlignment="1">
      <alignment horizontal="left" vertical="center"/>
    </xf>
    <xf numFmtId="0" fontId="11" fillId="8" borderId="4" xfId="0" applyFont="1" applyFill="1" applyBorder="1" applyAlignment="1">
      <alignment horizontal="center"/>
    </xf>
    <xf numFmtId="0" fontId="11" fillId="8" borderId="0" xfId="0" applyFont="1" applyFill="1" applyAlignment="1">
      <alignment horizontal="left"/>
    </xf>
    <xf numFmtId="0" fontId="13" fillId="8" borderId="0" xfId="0" applyFont="1" applyFill="1"/>
    <xf numFmtId="0" fontId="10" fillId="4" borderId="27" xfId="0" applyFont="1" applyFill="1" applyBorder="1"/>
    <xf numFmtId="0" fontId="7" fillId="4" borderId="3" xfId="0" applyFont="1" applyFill="1" applyBorder="1"/>
    <xf numFmtId="0" fontId="7" fillId="0" borderId="46" xfId="0" applyFont="1" applyBorder="1"/>
    <xf numFmtId="0" fontId="11" fillId="8" borderId="50" xfId="0" applyFont="1" applyFill="1" applyBorder="1"/>
    <xf numFmtId="0" fontId="7" fillId="0" borderId="3" xfId="0" applyFont="1" applyBorder="1"/>
    <xf numFmtId="0" fontId="7" fillId="8" borderId="50" xfId="0" applyFont="1" applyFill="1" applyBorder="1" applyAlignment="1">
      <alignment horizontal="center"/>
    </xf>
    <xf numFmtId="0" fontId="11" fillId="8" borderId="2" xfId="0" applyFont="1" applyFill="1" applyBorder="1" applyAlignment="1">
      <alignment horizontal="center"/>
    </xf>
    <xf numFmtId="9" fontId="7" fillId="0" borderId="2" xfId="0" applyNumberFormat="1" applyFont="1" applyBorder="1" applyAlignment="1">
      <alignment horizontal="left"/>
    </xf>
    <xf numFmtId="0" fontId="7" fillId="0" borderId="0" xfId="0" applyFont="1" applyAlignment="1">
      <alignment horizontal="left"/>
    </xf>
    <xf numFmtId="0" fontId="7" fillId="0" borderId="0" xfId="0" applyFont="1" applyAlignment="1">
      <alignment horizontal="center"/>
    </xf>
    <xf numFmtId="164" fontId="7" fillId="10" borderId="0" xfId="0" applyNumberFormat="1" applyFont="1" applyFill="1"/>
    <xf numFmtId="164" fontId="7" fillId="4" borderId="2" xfId="0" applyNumberFormat="1" applyFont="1" applyFill="1" applyBorder="1" applyAlignment="1">
      <alignment horizontal="center"/>
    </xf>
    <xf numFmtId="164" fontId="7" fillId="4" borderId="2" xfId="0" applyNumberFormat="1" applyFont="1" applyFill="1" applyBorder="1" applyAlignment="1">
      <alignment horizontal="right"/>
    </xf>
    <xf numFmtId="164" fontId="7" fillId="4" borderId="46" xfId="0" applyNumberFormat="1" applyFont="1" applyFill="1" applyBorder="1" applyAlignment="1">
      <alignment horizontal="right"/>
    </xf>
    <xf numFmtId="164" fontId="7" fillId="4" borderId="1" xfId="0" applyNumberFormat="1" applyFont="1" applyFill="1" applyBorder="1"/>
    <xf numFmtId="0" fontId="8" fillId="7" borderId="38" xfId="0" applyFont="1" applyFill="1" applyBorder="1"/>
    <xf numFmtId="0" fontId="8" fillId="4" borderId="42" xfId="0" applyFont="1" applyFill="1" applyBorder="1" applyAlignment="1">
      <alignment vertical="center"/>
    </xf>
    <xf numFmtId="164" fontId="8" fillId="4" borderId="51" xfId="0" applyNumberFormat="1" applyFont="1" applyFill="1" applyBorder="1" applyAlignment="1">
      <alignment horizontal="right"/>
    </xf>
    <xf numFmtId="164" fontId="7" fillId="4" borderId="6" xfId="0" applyNumberFormat="1" applyFont="1" applyFill="1" applyBorder="1"/>
    <xf numFmtId="164" fontId="8" fillId="4" borderId="51" xfId="0" applyNumberFormat="1" applyFont="1" applyFill="1" applyBorder="1"/>
    <xf numFmtId="0" fontId="15" fillId="0" borderId="0" xfId="0" applyFont="1"/>
    <xf numFmtId="0" fontId="8" fillId="4" borderId="52" xfId="0" applyFont="1" applyFill="1" applyBorder="1"/>
    <xf numFmtId="164" fontId="8" fillId="7" borderId="51" xfId="0" applyNumberFormat="1" applyFont="1" applyFill="1" applyBorder="1" applyAlignment="1">
      <alignment horizontal="right" vertical="center"/>
    </xf>
    <xf numFmtId="0" fontId="11" fillId="8" borderId="0" xfId="0" applyFont="1" applyFill="1" applyAlignment="1">
      <alignment horizontal="center"/>
    </xf>
    <xf numFmtId="164" fontId="4" fillId="0" borderId="21" xfId="0" applyNumberFormat="1" applyFont="1" applyBorder="1" applyAlignment="1" applyProtection="1">
      <alignment horizontal="left" vertical="center"/>
      <protection locked="0"/>
    </xf>
    <xf numFmtId="3" fontId="4" fillId="0" borderId="21" xfId="0" applyNumberFormat="1" applyFont="1" applyBorder="1" applyAlignment="1" applyProtection="1">
      <alignment horizontal="left" vertical="center"/>
      <protection locked="0"/>
    </xf>
    <xf numFmtId="4" fontId="4" fillId="0" borderId="21" xfId="0" applyNumberFormat="1" applyFont="1" applyBorder="1" applyAlignment="1" applyProtection="1">
      <alignment horizontal="left" vertical="center"/>
      <protection locked="0"/>
    </xf>
    <xf numFmtId="9" fontId="4" fillId="0" borderId="21" xfId="0" applyNumberFormat="1" applyFont="1" applyBorder="1" applyAlignment="1" applyProtection="1">
      <alignment horizontal="left" vertical="center"/>
      <protection locked="0"/>
    </xf>
    <xf numFmtId="164" fontId="12" fillId="0" borderId="10" xfId="0" applyNumberFormat="1" applyFont="1" applyBorder="1" applyAlignment="1">
      <alignment horizontal="left" vertical="center"/>
    </xf>
    <xf numFmtId="0" fontId="5" fillId="0" borderId="25" xfId="0" applyFont="1" applyBorder="1" applyAlignment="1">
      <alignment horizontal="center" vertical="center" wrapText="1"/>
    </xf>
    <xf numFmtId="0" fontId="5" fillId="0" borderId="22"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5" xfId="0" applyFont="1" applyBorder="1" applyAlignment="1">
      <alignment horizontal="center" vertical="center" wrapText="1"/>
    </xf>
    <xf numFmtId="0" fontId="16" fillId="0" borderId="30" xfId="0" applyFont="1" applyBorder="1" applyAlignment="1">
      <alignment horizontal="left" vertical="center" wrapText="1"/>
    </xf>
    <xf numFmtId="0" fontId="17" fillId="0" borderId="33" xfId="0" applyFont="1" applyBorder="1" applyAlignment="1">
      <alignment horizontal="left" vertical="center" wrapText="1"/>
    </xf>
    <xf numFmtId="0" fontId="17" fillId="0" borderId="25" xfId="0" applyFont="1" applyBorder="1" applyAlignment="1">
      <alignment horizontal="left" vertical="center" wrapText="1"/>
    </xf>
    <xf numFmtId="0" fontId="17" fillId="0" borderId="22" xfId="0" applyFont="1" applyBorder="1" applyAlignment="1">
      <alignment horizontal="left" vertical="center" wrapText="1"/>
    </xf>
    <xf numFmtId="0" fontId="17" fillId="0" borderId="43" xfId="0" applyFont="1" applyBorder="1" applyAlignment="1">
      <alignment horizontal="left" vertical="center" wrapText="1"/>
    </xf>
    <xf numFmtId="0" fontId="17" fillId="0" borderId="45" xfId="0" applyFont="1" applyBorder="1" applyAlignment="1">
      <alignment horizontal="left" vertical="center" wrapText="1"/>
    </xf>
  </cellXfs>
  <cellStyles count="3">
    <cellStyle name="Comma" xfId="1" builtinId="3"/>
    <cellStyle name="Currency" xfId="2" builtinId="4"/>
    <cellStyle name="Normal" xfId="0" builtinId="0"/>
  </cellStyles>
  <dxfs count="30">
    <dxf>
      <font>
        <strike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entury Gothic"/>
        <family val="2"/>
        <scheme val="none"/>
      </font>
      <fill>
        <patternFill patternType="none">
          <fgColor indexed="64"/>
          <bgColor auto="1"/>
        </patternFill>
      </fill>
      <alignment horizontal="left" vertical="bottom" textRotation="0" wrapText="0"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alignment horizontal="left" vertical="bottom" textRotation="0" wrapText="0" indent="0" justifyLastLine="0" shrinkToFit="0" readingOrder="0"/>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color theme="1"/>
        <name val="Century Gothic"/>
        <family val="2"/>
        <scheme val="none"/>
      </font>
      <fill>
        <patternFill patternType="none">
          <fgColor indexed="64"/>
          <bgColor auto="1"/>
        </patternFill>
      </fill>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entury Gothic"/>
        <family val="2"/>
        <scheme val="none"/>
      </font>
      <fill>
        <patternFill patternType="none">
          <fgColor indexed="64"/>
          <bgColor auto="1"/>
        </patternFill>
      </fill>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entury Gothic"/>
        <family val="2"/>
        <scheme val="none"/>
      </font>
      <fill>
        <patternFill patternType="none">
          <fgColor indexed="64"/>
          <bgColor auto="1"/>
        </patternFill>
      </fill>
    </dxf>
    <dxf>
      <border>
        <bottom style="thin">
          <color indexed="64"/>
        </bottom>
      </border>
    </dxf>
    <dxf>
      <font>
        <strike val="0"/>
        <outline val="0"/>
        <shadow val="0"/>
        <u val="none"/>
        <vertAlign val="baseline"/>
        <sz val="12"/>
        <color theme="1"/>
        <name val="Century Gothic"/>
        <family val="2"/>
        <scheme val="none"/>
      </font>
      <fill>
        <patternFill patternType="solid">
          <fgColor indexed="64"/>
          <bgColor theme="4"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1692088</xdr:colOff>
      <xdr:row>0</xdr:row>
      <xdr:rowOff>0</xdr:rowOff>
    </xdr:from>
    <xdr:to>
      <xdr:col>1</xdr:col>
      <xdr:colOff>570939</xdr:colOff>
      <xdr:row>0</xdr:row>
      <xdr:rowOff>990600</xdr:rowOff>
    </xdr:to>
    <xdr:pic>
      <xdr:nvPicPr>
        <xdr:cNvPr id="4" name="Picture 3" descr="City of Brighton is committed to fostering inclusivity and accessibility for a diverse population.  If you would like any additional information or clarification about anything within this document, please call 303-655-2072 and we will provide every answer available.">
          <a:extLst>
            <a:ext uri="{FF2B5EF4-FFF2-40B4-BE49-F238E27FC236}">
              <a16:creationId xmlns:a16="http://schemas.microsoft.com/office/drawing/2014/main" id="{676F53AC-62D0-59F2-C368-03E20DB0A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2088" y="0"/>
          <a:ext cx="1590675" cy="990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31C6C60-BB63-45FE-ACE5-C07CD9E582D6}" name="TypeDD" displayName="TypeDD" ref="K26:K28" totalsRowShown="0" headerRowDxfId="29" dataDxfId="27" headerRowBorderDxfId="28" tableBorderDxfId="26" totalsRowBorderDxfId="25">
  <autoFilter ref="K26:K28" xr:uid="{031C6C60-BB63-45FE-ACE5-C07CD9E582D6}">
    <filterColumn colId="0" hiddenButton="1"/>
  </autoFilter>
  <tableColumns count="1">
    <tableColumn id="1" xr3:uid="{3652C290-C929-406B-A64E-7D6213B020EB}" name="Project Type" dataDxfId="24"/>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A955DA5-90FA-4DA9-B47E-F7A8C7B6D8AB}" name="DistrictDD" displayName="DistrictDD" ref="L26:L28" totalsRowShown="0" headerRowDxfId="23" dataDxfId="21" headerRowBorderDxfId="22" tableBorderDxfId="20" totalsRowBorderDxfId="19">
  <autoFilter ref="L26:L28" xr:uid="{4A955DA5-90FA-4DA9-B47E-F7A8C7B6D8AB}">
    <filterColumn colId="0" hiddenButton="1"/>
  </autoFilter>
  <tableColumns count="1">
    <tableColumn id="1" xr3:uid="{BAE8E720-777D-483F-B6B7-C6D5D4F5E2AC}" name="Waste District" dataDxfId="18"/>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0832734-7E67-432B-9622-6DEDAAA712A4}" name="Table2" displayName="Table2" ref="L2:L8" totalsRowShown="0" headerRowDxfId="17" dataDxfId="15" headerRowBorderDxfId="16" tableBorderDxfId="14" totalsRowBorderDxfId="13">
  <autoFilter ref="L2:L8" xr:uid="{20832734-7E67-432B-9622-6DEDAAA712A4}">
    <filterColumn colId="0" hiddenButton="1"/>
  </autoFilter>
  <tableColumns count="1">
    <tableColumn id="1" xr3:uid="{1EB1ADA2-4217-4677-AFEA-6A6CF9998843}" name="Tap Size" dataDxfId="12"/>
  </tableColumns>
  <tableStyleInfo name="TableStyleMedium2"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4E4D869-7D94-4470-8C6B-12589CD876B8}" name="Table6" displayName="Table6" ref="K2:K13" totalsRowShown="0" headerRowDxfId="11" dataDxfId="9" headerRowBorderDxfId="10" tableBorderDxfId="8" totalsRowBorderDxfId="7">
  <autoFilter ref="K2:K13" xr:uid="{94E4D869-7D94-4470-8C6B-12589CD876B8}">
    <filterColumn colId="0" hiddenButton="1"/>
  </autoFilter>
  <tableColumns count="1">
    <tableColumn id="1" xr3:uid="{F1C7C82A-195F-42B0-934D-3F11173A79D1}" name="Units per Acre" dataDxfId="6"/>
  </tableColumns>
  <tableStyleInfo name="TableStyleMedium2"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5A05558-A532-4AED-AA76-938E9179D786}" name="Table1" displayName="Table1" ref="L9:L11" totalsRowShown="0" headerRowDxfId="5" dataDxfId="3" headerRowBorderDxfId="4" tableBorderDxfId="2" totalsRowBorderDxfId="1">
  <autoFilter ref="L9:L11" xr:uid="{D5A05558-A532-4AED-AA76-938E9179D786}">
    <filterColumn colId="0" hiddenButton="1"/>
  </autoFilter>
  <tableColumns count="1">
    <tableColumn id="1" xr3:uid="{7B0AAD9A-45EA-4B8E-A916-F6CC0DC3B14E}" name="Y/N" dataDxfId="0"/>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47C26-5407-4293-88FB-147E8A5000BD}">
  <dimension ref="A1:H31"/>
  <sheetViews>
    <sheetView showGridLines="0" showRowColHeaders="0" tabSelected="1" zoomScale="70" zoomScaleNormal="70" workbookViewId="0">
      <selection activeCell="B3" sqref="B3"/>
    </sheetView>
  </sheetViews>
  <sheetFormatPr defaultRowHeight="15" x14ac:dyDescent="0.25"/>
  <cols>
    <col min="1" max="7" width="40.7109375" customWidth="1"/>
  </cols>
  <sheetData>
    <row r="1" spans="1:8" ht="80.25" customHeight="1" thickBot="1" x14ac:dyDescent="0.3">
      <c r="B1" s="3"/>
      <c r="C1" s="2"/>
      <c r="D1" s="2"/>
      <c r="E1" s="2"/>
      <c r="F1" s="2"/>
      <c r="G1" s="1"/>
      <c r="H1" s="4"/>
    </row>
    <row r="2" spans="1:8" ht="24.95" customHeight="1" x14ac:dyDescent="0.3">
      <c r="A2" s="165" t="s">
        <v>30</v>
      </c>
      <c r="B2" s="166" t="s">
        <v>29</v>
      </c>
      <c r="C2" s="205" t="s">
        <v>193</v>
      </c>
      <c r="D2" s="206"/>
      <c r="E2" s="6"/>
    </row>
    <row r="3" spans="1:8" ht="24.95" customHeight="1" x14ac:dyDescent="0.3">
      <c r="A3" s="167" t="s">
        <v>13</v>
      </c>
      <c r="B3" s="196">
        <v>0</v>
      </c>
      <c r="C3" s="207"/>
      <c r="D3" s="208"/>
      <c r="E3" s="6"/>
    </row>
    <row r="4" spans="1:8" ht="24.95" customHeight="1" x14ac:dyDescent="0.3">
      <c r="A4" s="167" t="s">
        <v>2</v>
      </c>
      <c r="B4" s="197">
        <v>0</v>
      </c>
      <c r="C4" s="207"/>
      <c r="D4" s="208"/>
      <c r="E4" s="6"/>
    </row>
    <row r="5" spans="1:8" ht="24.95" customHeight="1" x14ac:dyDescent="0.3">
      <c r="A5" s="167" t="s">
        <v>0</v>
      </c>
      <c r="B5" s="198">
        <v>0.75</v>
      </c>
      <c r="C5" s="207"/>
      <c r="D5" s="208"/>
      <c r="E5" s="6"/>
    </row>
    <row r="6" spans="1:8" ht="24.95" customHeight="1" x14ac:dyDescent="0.3">
      <c r="A6" s="167" t="s">
        <v>1</v>
      </c>
      <c r="B6" s="197">
        <v>1</v>
      </c>
      <c r="C6" s="207"/>
      <c r="D6" s="208"/>
      <c r="E6" s="6"/>
    </row>
    <row r="7" spans="1:8" ht="24.95" customHeight="1" x14ac:dyDescent="0.3">
      <c r="A7" s="167" t="s">
        <v>35</v>
      </c>
      <c r="B7" s="198" t="s">
        <v>11</v>
      </c>
      <c r="C7" s="207"/>
      <c r="D7" s="208"/>
      <c r="E7" s="6"/>
    </row>
    <row r="8" spans="1:8" ht="24.95" customHeight="1" x14ac:dyDescent="0.3">
      <c r="A8" s="167" t="s">
        <v>199</v>
      </c>
      <c r="B8" s="198" t="s">
        <v>170</v>
      </c>
      <c r="C8" s="207"/>
      <c r="D8" s="208"/>
      <c r="E8" s="6"/>
    </row>
    <row r="9" spans="1:8" ht="24.95" customHeight="1" x14ac:dyDescent="0.3">
      <c r="A9" s="167" t="s">
        <v>63</v>
      </c>
      <c r="B9" s="198" t="s">
        <v>6</v>
      </c>
      <c r="C9" s="207"/>
      <c r="D9" s="208"/>
      <c r="E9" s="6"/>
    </row>
    <row r="10" spans="1:8" ht="24.95" customHeight="1" x14ac:dyDescent="0.3">
      <c r="A10" s="167" t="s">
        <v>15</v>
      </c>
      <c r="B10" s="198" t="s">
        <v>6</v>
      </c>
      <c r="C10" s="207"/>
      <c r="D10" s="208"/>
      <c r="E10" s="6"/>
    </row>
    <row r="11" spans="1:8" ht="24.95" customHeight="1" x14ac:dyDescent="0.3">
      <c r="A11" s="167" t="s">
        <v>17</v>
      </c>
      <c r="B11" s="197" t="s">
        <v>11</v>
      </c>
      <c r="C11" s="207"/>
      <c r="D11" s="208"/>
      <c r="E11" s="6"/>
    </row>
    <row r="12" spans="1:8" ht="24.95" customHeight="1" x14ac:dyDescent="0.3">
      <c r="A12" s="167" t="s">
        <v>146</v>
      </c>
      <c r="B12" s="198" t="s">
        <v>6</v>
      </c>
      <c r="C12" s="207"/>
      <c r="D12" s="208"/>
      <c r="E12" s="6"/>
    </row>
    <row r="13" spans="1:8" ht="24.95" customHeight="1" x14ac:dyDescent="0.3">
      <c r="A13" s="167" t="s">
        <v>147</v>
      </c>
      <c r="B13" s="198" t="s">
        <v>6</v>
      </c>
      <c r="C13" s="207"/>
      <c r="D13" s="208"/>
      <c r="E13" s="6"/>
    </row>
    <row r="14" spans="1:8" ht="24.95" customHeight="1" x14ac:dyDescent="0.3">
      <c r="A14" s="167" t="s">
        <v>153</v>
      </c>
      <c r="B14" s="198" t="s">
        <v>6</v>
      </c>
      <c r="C14" s="207"/>
      <c r="D14" s="208"/>
      <c r="E14" s="6"/>
    </row>
    <row r="15" spans="1:8" ht="24.95" customHeight="1" x14ac:dyDescent="0.3">
      <c r="A15" s="167" t="s">
        <v>152</v>
      </c>
      <c r="B15" s="198" t="s">
        <v>6</v>
      </c>
      <c r="C15" s="207"/>
      <c r="D15" s="208"/>
      <c r="E15" s="6"/>
    </row>
    <row r="16" spans="1:8" ht="24.95" customHeight="1" x14ac:dyDescent="0.3">
      <c r="A16" s="167" t="s">
        <v>171</v>
      </c>
      <c r="B16" s="198" t="s">
        <v>5</v>
      </c>
      <c r="C16" s="207"/>
      <c r="D16" s="208"/>
      <c r="E16" s="6"/>
    </row>
    <row r="17" spans="1:5" ht="24.95" customHeight="1" x14ac:dyDescent="0.3">
      <c r="A17" s="167" t="s">
        <v>173</v>
      </c>
      <c r="B17" s="198" t="s">
        <v>5</v>
      </c>
      <c r="C17" s="207"/>
      <c r="D17" s="208"/>
      <c r="E17" s="6"/>
    </row>
    <row r="18" spans="1:5" ht="24.95" customHeight="1" x14ac:dyDescent="0.3">
      <c r="A18" s="167" t="s">
        <v>174</v>
      </c>
      <c r="B18" s="198" t="s">
        <v>5</v>
      </c>
      <c r="C18" s="207"/>
      <c r="D18" s="208"/>
      <c r="E18" s="6"/>
    </row>
    <row r="19" spans="1:5" ht="24.95" customHeight="1" x14ac:dyDescent="0.3">
      <c r="A19" s="167" t="s">
        <v>175</v>
      </c>
      <c r="B19" s="199">
        <v>0.8</v>
      </c>
      <c r="C19" s="207"/>
      <c r="D19" s="208"/>
      <c r="E19" s="6"/>
    </row>
    <row r="20" spans="1:5" ht="24.95" customHeight="1" x14ac:dyDescent="0.3">
      <c r="A20" s="168" t="s">
        <v>9</v>
      </c>
      <c r="B20" s="200">
        <f>Data!G18</f>
        <v>17546.705000000002</v>
      </c>
      <c r="C20" s="207"/>
      <c r="D20" s="208"/>
      <c r="E20" s="6"/>
    </row>
    <row r="21" spans="1:5" ht="70.5" customHeight="1" x14ac:dyDescent="0.3">
      <c r="A21" s="201" t="s">
        <v>36</v>
      </c>
      <c r="B21" s="202"/>
      <c r="C21" s="207"/>
      <c r="D21" s="208"/>
      <c r="E21" s="6"/>
    </row>
    <row r="22" spans="1:5" ht="24.95" customHeight="1" thickBot="1" x14ac:dyDescent="0.35">
      <c r="A22" s="203" t="s">
        <v>227</v>
      </c>
      <c r="B22" s="204"/>
      <c r="C22" s="209"/>
      <c r="D22" s="210"/>
      <c r="E22" s="6"/>
    </row>
    <row r="23" spans="1:5" s="5" customFormat="1" ht="15" customHeight="1" x14ac:dyDescent="0.25"/>
    <row r="24" spans="1:5" ht="15" customHeight="1" x14ac:dyDescent="0.25"/>
    <row r="25" spans="1:5" ht="15" customHeight="1" x14ac:dyDescent="0.25"/>
    <row r="26" spans="1:5" ht="15" customHeight="1" x14ac:dyDescent="0.25"/>
    <row r="27" spans="1:5" ht="15" customHeight="1" x14ac:dyDescent="0.25"/>
    <row r="28" spans="1:5" ht="15" customHeight="1" x14ac:dyDescent="0.25"/>
    <row r="29" spans="1:5" ht="15" customHeight="1" x14ac:dyDescent="0.25"/>
    <row r="30" spans="1:5" ht="15" customHeight="1" x14ac:dyDescent="0.25"/>
    <row r="31" spans="1:5" ht="15" customHeight="1" x14ac:dyDescent="0.25"/>
  </sheetData>
  <sheetProtection algorithmName="SHA-512" hashValue="RTOk4Lj0kF514o9mgvFKze5qyUAodR8gar0Dxnx5dAzhop7lo6bdnTjmOpwNAMpgfqb8n8g5p6QE93w6EfVYmQ==" saltValue="eODp3Dkhn1oCNVF/TmMDaQ==" spinCount="100000" sheet="1" objects="1" scenarios="1"/>
  <mergeCells count="3">
    <mergeCell ref="A21:B21"/>
    <mergeCell ref="A22:B22"/>
    <mergeCell ref="C2:D22"/>
  </mergeCells>
  <dataValidations count="7">
    <dataValidation type="list" allowBlank="1" showInputMessage="1" showErrorMessage="1" sqref="B5" xr:uid="{1E29B99F-3B36-4F85-AA3C-0FC32D7B7B36}">
      <formula1>TapsDD</formula1>
    </dataValidation>
    <dataValidation type="list" allowBlank="1" showInputMessage="1" showErrorMessage="1" sqref="B8" xr:uid="{0708D789-E11D-4387-8F24-B37D6B2673CC}">
      <formula1>WaterDistrictDD</formula1>
    </dataValidation>
    <dataValidation type="list" allowBlank="1" showInputMessage="1" showErrorMessage="1" sqref="B7" xr:uid="{4EAD5F39-FC01-4F23-82BC-669915938AEA}">
      <formula1>ProjectType</formula1>
    </dataValidation>
    <dataValidation type="list" allowBlank="1" showInputMessage="1" showErrorMessage="1" sqref="B9:B10 B12:B15 B16:B18" xr:uid="{2F4C41FD-334C-4964-911E-FAC08DB8091F}">
      <formula1>YesNo</formula1>
    </dataValidation>
    <dataValidation type="list" allowBlank="1" showInputMessage="1" showErrorMessage="1" sqref="B11" xr:uid="{C9E32005-7741-4E6E-BB15-8C5FCF978D37}">
      <formula1>INDIRECT($B$10)</formula1>
    </dataValidation>
    <dataValidation type="list" allowBlank="1" showInputMessage="1" showErrorMessage="1" sqref="B11" xr:uid="{A0BE7DE2-8B64-4A28-BD33-643C5301FD04}">
      <formula1>INDIRECT(B10)</formula1>
    </dataValidation>
    <dataValidation type="list" allowBlank="1" showInputMessage="1" showErrorMessage="1" sqref="B6" xr:uid="{54D59374-AB40-438D-8D25-9C77D871F402}">
      <formula1>INDIRECT(SUBSTITUTE(B7,"-","_"))</formula1>
    </dataValidation>
  </dataValidations>
  <pageMargins left="0.7" right="0.7" top="0.75" bottom="0.75" header="0.3" footer="0.3"/>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B5BB32F-D9D2-4261-AA8F-0D8D773704D0}">
          <x14:formula1>
            <xm:f>Data!$M$16:$M$21</xm:f>
          </x14:formula1>
          <xm:sqref>B19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E7315-F06F-4164-BD4B-8B0C6EBC83A4}">
  <dimension ref="A1:F30"/>
  <sheetViews>
    <sheetView zoomScale="85" zoomScaleNormal="85" workbookViewId="0">
      <pane ySplit="1" topLeftCell="A2" activePane="bottomLeft" state="frozen"/>
      <selection pane="bottomLeft" activeCell="B2" sqref="B2"/>
    </sheetView>
  </sheetViews>
  <sheetFormatPr defaultRowHeight="15" x14ac:dyDescent="0.25"/>
  <cols>
    <col min="1" max="1" width="20.7109375" style="7" customWidth="1"/>
    <col min="2" max="2" width="200" customWidth="1"/>
    <col min="3" max="3" width="9.140625" customWidth="1"/>
  </cols>
  <sheetData>
    <row r="1" spans="1:6" ht="20.100000000000001" customHeight="1" thickBot="1" x14ac:dyDescent="0.3">
      <c r="A1" s="114" t="s">
        <v>108</v>
      </c>
      <c r="B1" s="115" t="s">
        <v>226</v>
      </c>
      <c r="C1" s="13"/>
      <c r="D1" s="14"/>
      <c r="E1" s="14"/>
      <c r="F1" s="14"/>
    </row>
    <row r="2" spans="1:6" ht="54.95" customHeight="1" x14ac:dyDescent="0.25">
      <c r="A2" s="10" t="s">
        <v>13</v>
      </c>
      <c r="B2" s="16" t="s">
        <v>197</v>
      </c>
    </row>
    <row r="3" spans="1:6" ht="54.95" customHeight="1" x14ac:dyDescent="0.25">
      <c r="A3" s="8" t="s">
        <v>2</v>
      </c>
      <c r="B3" s="17" t="s">
        <v>39</v>
      </c>
    </row>
    <row r="4" spans="1:6" ht="54.95" customHeight="1" x14ac:dyDescent="0.25">
      <c r="A4" s="8" t="s">
        <v>43</v>
      </c>
      <c r="B4" s="17" t="s">
        <v>110</v>
      </c>
    </row>
    <row r="5" spans="1:6" ht="54.95" customHeight="1" x14ac:dyDescent="0.25">
      <c r="A5" s="8" t="s">
        <v>1</v>
      </c>
      <c r="B5" s="17" t="s">
        <v>40</v>
      </c>
    </row>
    <row r="6" spans="1:6" ht="54.95" customHeight="1" x14ac:dyDescent="0.25">
      <c r="A6" s="8" t="s">
        <v>35</v>
      </c>
      <c r="B6" s="17" t="s">
        <v>185</v>
      </c>
    </row>
    <row r="7" spans="1:6" ht="54.95" customHeight="1" x14ac:dyDescent="0.25">
      <c r="A7" s="8" t="s">
        <v>199</v>
      </c>
      <c r="B7" s="17" t="s">
        <v>201</v>
      </c>
    </row>
    <row r="8" spans="1:6" ht="54.95" customHeight="1" x14ac:dyDescent="0.25">
      <c r="A8" s="8" t="s">
        <v>63</v>
      </c>
      <c r="B8" s="17" t="s">
        <v>109</v>
      </c>
    </row>
    <row r="9" spans="1:6" ht="54.95" customHeight="1" x14ac:dyDescent="0.25">
      <c r="A9" s="8" t="s">
        <v>15</v>
      </c>
      <c r="B9" s="17" t="s">
        <v>41</v>
      </c>
    </row>
    <row r="10" spans="1:6" ht="54.95" customHeight="1" x14ac:dyDescent="0.25">
      <c r="A10" s="8" t="s">
        <v>17</v>
      </c>
      <c r="B10" s="17" t="s">
        <v>160</v>
      </c>
    </row>
    <row r="11" spans="1:6" ht="54.95" customHeight="1" x14ac:dyDescent="0.25">
      <c r="A11" s="116" t="s">
        <v>146</v>
      </c>
      <c r="B11" s="117" t="s">
        <v>148</v>
      </c>
    </row>
    <row r="12" spans="1:6" ht="54.95" customHeight="1" x14ac:dyDescent="0.25">
      <c r="A12" s="116" t="s">
        <v>147</v>
      </c>
      <c r="B12" s="117" t="s">
        <v>164</v>
      </c>
    </row>
    <row r="13" spans="1:6" ht="54.95" customHeight="1" x14ac:dyDescent="0.25">
      <c r="A13" s="116" t="s">
        <v>153</v>
      </c>
      <c r="B13" s="117" t="s">
        <v>165</v>
      </c>
    </row>
    <row r="14" spans="1:6" ht="54.95" customHeight="1" x14ac:dyDescent="0.25">
      <c r="A14" s="116" t="s">
        <v>152</v>
      </c>
      <c r="B14" s="117" t="s">
        <v>166</v>
      </c>
    </row>
    <row r="15" spans="1:6" ht="54.95" customHeight="1" x14ac:dyDescent="0.25">
      <c r="A15" s="116" t="s">
        <v>171</v>
      </c>
      <c r="B15" s="117" t="s">
        <v>176</v>
      </c>
    </row>
    <row r="16" spans="1:6" ht="54.95" customHeight="1" x14ac:dyDescent="0.25">
      <c r="A16" s="116" t="s">
        <v>173</v>
      </c>
      <c r="B16" s="117" t="s">
        <v>177</v>
      </c>
    </row>
    <row r="17" spans="1:2" ht="54.95" customHeight="1" x14ac:dyDescent="0.25">
      <c r="A17" s="116" t="s">
        <v>174</v>
      </c>
      <c r="B17" s="117" t="s">
        <v>178</v>
      </c>
    </row>
    <row r="18" spans="1:2" ht="54.95" customHeight="1" x14ac:dyDescent="0.25">
      <c r="A18" s="116" t="s">
        <v>175</v>
      </c>
      <c r="B18" s="117" t="s">
        <v>179</v>
      </c>
    </row>
    <row r="19" spans="1:2" ht="54.95" customHeight="1" x14ac:dyDescent="0.25">
      <c r="A19" s="116" t="s">
        <v>194</v>
      </c>
      <c r="B19" s="117" t="s">
        <v>198</v>
      </c>
    </row>
    <row r="20" spans="1:2" ht="54.95" customHeight="1" thickBot="1" x14ac:dyDescent="0.3">
      <c r="A20" s="9" t="s">
        <v>42</v>
      </c>
      <c r="B20" s="15" t="s">
        <v>202</v>
      </c>
    </row>
    <row r="21" spans="1:2" ht="15.75" thickBot="1" x14ac:dyDescent="0.3"/>
    <row r="22" spans="1:2" x14ac:dyDescent="0.25">
      <c r="A22" s="131" t="s">
        <v>144</v>
      </c>
      <c r="B22" s="132"/>
    </row>
    <row r="23" spans="1:2" ht="17.25" x14ac:dyDescent="0.3">
      <c r="A23" s="133" t="s">
        <v>195</v>
      </c>
      <c r="B23" s="18" t="s">
        <v>196</v>
      </c>
    </row>
    <row r="24" spans="1:2" ht="17.25" x14ac:dyDescent="0.3">
      <c r="A24" s="133" t="s">
        <v>159</v>
      </c>
      <c r="B24" s="134" t="s">
        <v>140</v>
      </c>
    </row>
    <row r="25" spans="1:2" ht="17.25" x14ac:dyDescent="0.3">
      <c r="A25" s="133" t="s">
        <v>200</v>
      </c>
      <c r="B25" s="134" t="s">
        <v>142</v>
      </c>
    </row>
    <row r="26" spans="1:2" ht="17.25" x14ac:dyDescent="0.3">
      <c r="A26" s="133" t="s">
        <v>141</v>
      </c>
      <c r="B26" s="134" t="s">
        <v>143</v>
      </c>
    </row>
    <row r="27" spans="1:2" ht="17.25" x14ac:dyDescent="0.3">
      <c r="A27" s="133" t="s">
        <v>145</v>
      </c>
      <c r="B27" s="134" t="s">
        <v>149</v>
      </c>
    </row>
    <row r="28" spans="1:2" ht="17.25" x14ac:dyDescent="0.3">
      <c r="A28" s="133" t="s">
        <v>158</v>
      </c>
      <c r="B28" s="134" t="s">
        <v>154</v>
      </c>
    </row>
    <row r="29" spans="1:2" ht="17.25" x14ac:dyDescent="0.3">
      <c r="A29" s="133" t="s">
        <v>156</v>
      </c>
      <c r="B29" s="134" t="s">
        <v>157</v>
      </c>
    </row>
    <row r="30" spans="1:2" ht="18" thickBot="1" x14ac:dyDescent="0.35">
      <c r="A30" s="135" t="s">
        <v>155</v>
      </c>
      <c r="B30" s="136" t="s">
        <v>162</v>
      </c>
    </row>
  </sheetData>
  <sheetProtection algorithmName="SHA-512" hashValue="GLLmGscTi4/8KL54D2AXrX3QsfyFjpzUMHL6XGzDbM+H8vz9QkeyNCQnfhdb0gJnDq5mzy8WlLisdaZCGgIbjw==" saltValue="RwEDQ+GO10nBhIqNJIweIw=="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3FF10-DC0F-4F45-8BEB-4D2BD68AFB95}">
  <dimension ref="A1:T162"/>
  <sheetViews>
    <sheetView zoomScale="85" zoomScaleNormal="85" workbookViewId="0">
      <selection activeCell="C2" sqref="C2"/>
    </sheetView>
  </sheetViews>
  <sheetFormatPr defaultRowHeight="15" x14ac:dyDescent="0.25"/>
  <cols>
    <col min="1" max="14" width="20.7109375" customWidth="1"/>
    <col min="15" max="19" width="15.7109375" customWidth="1"/>
  </cols>
  <sheetData>
    <row r="1" spans="1:13" ht="16.5" thickBot="1" x14ac:dyDescent="0.3">
      <c r="A1" s="60"/>
      <c r="B1" s="102" t="s">
        <v>128</v>
      </c>
      <c r="C1" s="125" t="s">
        <v>225</v>
      </c>
      <c r="D1" s="58"/>
      <c r="E1" s="103" t="s">
        <v>130</v>
      </c>
      <c r="F1" s="59"/>
      <c r="G1" s="59"/>
      <c r="H1" s="144" t="s">
        <v>77</v>
      </c>
      <c r="I1" s="145"/>
      <c r="J1" s="104" t="s">
        <v>137</v>
      </c>
      <c r="K1" s="170"/>
      <c r="L1" s="195" t="s">
        <v>111</v>
      </c>
      <c r="M1" s="171"/>
    </row>
    <row r="2" spans="1:13" ht="17.25" x14ac:dyDescent="0.3">
      <c r="A2" s="61" t="s">
        <v>205</v>
      </c>
      <c r="B2" s="68"/>
      <c r="C2" s="126"/>
      <c r="D2" s="42" t="s">
        <v>67</v>
      </c>
      <c r="E2" s="55" t="s">
        <v>76</v>
      </c>
      <c r="F2" s="77"/>
      <c r="G2" s="55" t="s">
        <v>64</v>
      </c>
      <c r="H2" s="146" t="s">
        <v>3</v>
      </c>
      <c r="I2" s="147">
        <f>Calculator!B3</f>
        <v>0</v>
      </c>
      <c r="J2" s="172" t="s">
        <v>131</v>
      </c>
      <c r="K2" s="26" t="s">
        <v>26</v>
      </c>
      <c r="L2" s="26" t="s">
        <v>37</v>
      </c>
      <c r="M2" s="149" t="s">
        <v>33</v>
      </c>
    </row>
    <row r="3" spans="1:13" ht="17.25" x14ac:dyDescent="0.3">
      <c r="A3" s="43" t="s">
        <v>84</v>
      </c>
      <c r="B3" s="57" t="s">
        <v>64</v>
      </c>
      <c r="C3" s="127"/>
      <c r="D3" s="19" t="s">
        <v>73</v>
      </c>
      <c r="E3" s="20" t="s">
        <v>163</v>
      </c>
      <c r="F3" s="21"/>
      <c r="G3" s="138">
        <f>IF(I12="No",0.0375*0.5*I2,0.025*0.5*I2)</f>
        <v>0</v>
      </c>
      <c r="H3" s="146" t="s">
        <v>8</v>
      </c>
      <c r="I3" s="52">
        <f>Calculator!B4</f>
        <v>0</v>
      </c>
      <c r="J3" s="141">
        <f>IF(I11="No",G14*0.65,189)</f>
        <v>15.275</v>
      </c>
      <c r="K3" s="27" t="s">
        <v>27</v>
      </c>
      <c r="L3" s="28">
        <v>0.75</v>
      </c>
      <c r="M3" s="28">
        <v>1</v>
      </c>
    </row>
    <row r="4" spans="1:13" ht="17.25" x14ac:dyDescent="0.3">
      <c r="A4" s="22" t="s">
        <v>85</v>
      </c>
      <c r="B4" s="31">
        <v>23.5</v>
      </c>
      <c r="C4" s="127"/>
      <c r="D4" s="19" t="s">
        <v>79</v>
      </c>
      <c r="E4" s="20" t="s">
        <v>136</v>
      </c>
      <c r="F4" s="21"/>
      <c r="G4" s="139">
        <f>SUM(J3+J5+J7+J11+J9)</f>
        <v>115.27500000000001</v>
      </c>
      <c r="H4" s="146" t="s">
        <v>14</v>
      </c>
      <c r="I4" s="53">
        <f>Calculator!B5</f>
        <v>0.75</v>
      </c>
      <c r="J4" s="173" t="s">
        <v>134</v>
      </c>
      <c r="K4" s="27" t="s">
        <v>11</v>
      </c>
      <c r="L4" s="28">
        <v>1</v>
      </c>
      <c r="M4" s="28">
        <v>2</v>
      </c>
    </row>
    <row r="5" spans="1:13" ht="17.25" x14ac:dyDescent="0.3">
      <c r="A5" s="22" t="s">
        <v>86</v>
      </c>
      <c r="B5" s="32" t="s">
        <v>93</v>
      </c>
      <c r="C5" s="127"/>
      <c r="D5" s="19" t="s">
        <v>105</v>
      </c>
      <c r="E5" s="20" t="s">
        <v>127</v>
      </c>
      <c r="F5" s="21"/>
      <c r="G5" s="139" cm="1">
        <f t="array" ref="G5">_xlfn.IFS(I4=0.75,(I5*B44),I4=1,(I5*B45),I4=1.5,(I5*B46),I4=2,(I5*B47),I4=3,(I5*B48),I4=4,(I5*B49))</f>
        <v>287.93</v>
      </c>
      <c r="H5" s="146" t="s">
        <v>1</v>
      </c>
      <c r="I5" s="52">
        <f>Calculator!B6</f>
        <v>1</v>
      </c>
      <c r="J5" s="141">
        <f>SUM(I3*B125)</f>
        <v>0</v>
      </c>
      <c r="K5" s="27" t="s">
        <v>18</v>
      </c>
      <c r="L5" s="28">
        <v>1.5</v>
      </c>
      <c r="M5" s="28">
        <v>3</v>
      </c>
    </row>
    <row r="6" spans="1:13" ht="17.25" x14ac:dyDescent="0.3">
      <c r="A6" s="22" t="s">
        <v>87</v>
      </c>
      <c r="B6" s="32" t="s">
        <v>94</v>
      </c>
      <c r="C6" s="127"/>
      <c r="D6" s="19" t="s">
        <v>101</v>
      </c>
      <c r="E6" s="20" t="s">
        <v>126</v>
      </c>
      <c r="F6" s="21"/>
      <c r="G6" s="139" cm="1">
        <f t="array" ref="G6">_xlfn.IFS(AND(I4=0.75,I6="Residential",I9="Yes"),B31*I3,AND(I4=1,I6="Residential",I9="Yes"),B32*I3,AND(I4=1.5,I6="Residential",I9="Yes"),B33*I3,AND(I4=2,I6="Residential",I9="Yes"),B34*I3,AND(I4=3,I6="Residential",I9="Yes"),B35*I3,AND(I4=4,I6="Residential",I9="Yes"),B36*I3,AND(I6="Multi-Unit",I9="Yes"),B39*I3+7168,AND(I6="Office",I9="Yes",I4=0.75),B31*I3,AND(I4=1,I6="Office",I9="Yes"),B32*I3,AND(I4=1.5,I6="Office",I9="Yes"),B33*I3,AND(I4=2,I6="Office",I9="Yes"),B34*I3,AND(I4=3,I6="Office",I9="Yes"),B35*I3,AND(I4=4,I6="Office",I9="Yes"),B36*I3,AND(I4=0.75,I6="Commercial",I9="Yes"),B31*I3,AND(I4=1,I6="Commercial",I9="Yes"),B32*I3,AND(I4=1.5,I6="Commercial",I9="Yes"),B33*I3,AND(I4=2,I6="Commercial",I9="Yes"),B34*I3,AND(I4=3,I6="Commercial",I9="Yes"),B35*I3,AND(I4=4,I6="Commercial",I9="Yes"),B36*I3,AND(I4=0.75,I6="Retail",I9="Yes"),B31*I3,AND(I4=1,I6="Retail",I9="Yes"),B32*I3,AND(I4=1.5,I6="Retail",I9="Yes"),B33*I3,AND(I4=2,I6="Retail",I9="Yes"),B34*I3,AND(I4=3,I6="Retail",I9="Yes"),B35*I3,AND(I4=4,I6="Retail",I9="Yes"),B36*I3,AND(I4=0.75,I6="Industrial",I9="Yes"),B31*I3,AND(I4=1,I6="Industrial",I9="Yes"),B32*I3,AND(I4=1.5,I6="Industrial",I9="Yes"),B33*I3,AND(I4=2,I6="Industrial",I9="Yes"),B34*I3,AND(I4=3,I6="Industrial",I9="Yes"),B35*I3,AND(I4=4,I6="Industrial",I9="Yes"),B36*I3,AND(I4=0.75,I6="Residential",I9="No"),B111*I3,AND(I4=1,I6="Residential",I9="No"),B112*I3,AND(I4=1.5,I6="Residential",I9="No"),B113*I3,AND(I4=2,I6="Residential",I9="No"),B114*I3,AND(I4=3,I6="Residential",I9="No"),B115*I3,AND(I4=4,I6="Residential",I9="No"),B116*I3,AND(I6="Multi-Unit",I9="No"),B121*I3+5931,AND(I6="Office",I4=0.75,I9="No"),B111*I3,AND(I4=1,I6="Office",I9="No"),B112*I3,AND(I4=1.5,I6="Office",I9="No"),B113*I3,AND(I4=2,I6="Office",I9="No"),B114*I3,AND(I4=3,I6="Office",I9="No"),B115*I3,AND(I4=4,I6="Office",I9="No"),B116*I3,AND(I4=0.75,I6="Commercial",I9="No"),B111*I3,AND(I4=1,I6="Commercial",I9="No"),B112*I3,AND(I4=1.5,I6="Commercial",I9="No"),B33*I3,AND(I4=2,I6="Commercial",I9="No"),B114*I3,AND(I4=3,I6="Commercial",I9="No"),B115*I3,AND(I4=4,I6="Commercial",I9="No"),B116*I3,AND(I4=0.75,I6="Retail",I9="No"),B111*I3,AND(I4=1,I6="Retail",I9="No"),B112*I3,AND(I4=1.5,I6="Retail",I9="No"),B113*I3,AND(I4=2,I6="Retail",I9="No"),B114*I3,AND(I4=3,I6="Retail",I9="No"),B115*I3,AND(I4=4,I6="Retail",I9="No"),B116*I3,AND(I4=0.75,I6="Industrial",I9="No"),B111*I3,AND(I4=1,I6="Industrial",I9="No"),B112*I3,AND(I4=1.5,I6="Industrial",I9="No"),B113*I3,AND(I4=2,I6="Industrial",I9="No"),B114*I3,AND(I4=3,I6="Industrial",I9="No"),B115*I3,AND(I4=4,I6="Industrial",I9="No"),B116*I3)</f>
        <v>5931</v>
      </c>
      <c r="H6" s="146" t="s">
        <v>35</v>
      </c>
      <c r="I6" s="53" t="str">
        <f>Calculator!B7</f>
        <v>Multi-Unit</v>
      </c>
      <c r="J6" s="173" t="s">
        <v>133</v>
      </c>
      <c r="K6" s="27" t="s">
        <v>20</v>
      </c>
      <c r="L6" s="28">
        <v>2</v>
      </c>
      <c r="M6" s="28">
        <v>4</v>
      </c>
    </row>
    <row r="7" spans="1:13" ht="17.25" x14ac:dyDescent="0.3">
      <c r="A7" s="22" t="s">
        <v>88</v>
      </c>
      <c r="B7" s="32" t="s">
        <v>95</v>
      </c>
      <c r="C7" s="127"/>
      <c r="D7" s="19" t="s">
        <v>100</v>
      </c>
      <c r="E7" s="20" t="s">
        <v>107</v>
      </c>
      <c r="F7" s="21"/>
      <c r="G7" s="139" cm="1">
        <f t="array" ref="G7">_xlfn.IFS(AND(I6="Residential",I4=0.75),(B55*I5),AND(I6="Residential",I4=1),(B56*I5),AND(I6="Residential",I4=1.5),(B57*I5),AND(I6="Residential",I4=2),(B58*I5),AND(I6="Residential",I4=3),(B59*I5),AND(I6="Residential",I4=4),(B60*I5),AND(I6="Multi-Unit",I10="Multi-Unit"),(B66*I3+294),AND(I6="Multi-Unit",I10="0 to 3"),(B96*I5),AND(I6="Multi-Unit",I10="&gt; 3 to 4"),(B97*I5),AND(I6="Multi-Unit",I10="&gt; 4 to 5"),(B98*I5),AND(I6="Multi-Unit",I10="&gt; 5 to 6"),(B99*I5),AND(I6="Multi-Unit",I10="&gt; 6 to 7"),(B100*I5),AND(I6="Multi-Unit",I10="&gt; 7 to 9"),(B101*I5),AND(I6="Multi-Unit",I10="&gt; 9 to 10"),(B102*I5),AND(I6="Multi-Unit",I10="&gt; 10 to 11"),(B103*I5),AND(I6="Multi-Unit",I10="&gt; 11"),(B104*I5),AND(I6="Office",I4=0.75),(B55*I5),AND(I6="Office",I4=1),(B56*I5),AND(I6="Office",I4=1.5),(B57*I5),AND(I6="Office",I4=2),(B58*I5),AND(I6="Office",I4=3),(B59*I5),AND(I6="Office",I4=4),(B60*I5),AND(I6="Commercial",I4=0.75),(B55*I5),AND(I6="Commercial",I4=1),(B56*I5),AND(I6="Commercial",I4=1.5),(B57*I5),AND(I6="Commercial",I4=2),(B58*I5),AND(I6="Commercial",I4=3),(B59*I5),AND(I6="Commercial",I4=4),(B60*I5),AND(I6="Retail",I4=0.75),(B55*I5),AND(I6="Retail",I4=1),(B56*I5),AND(I6="Retail",I4=1.5),(B57*I5),AND(I6="Retail",I4=2),(B58*I5),AND(I6="Retail",I4=3),(B59*I5),AND(I6="Retail",I4=4),(B60*I5),AND(I6="Industrial",I4=0.75),(B55*I5),AND(I6="Industrial",I4=1),(B56*I5),AND(I6="Industrial",I4=1.5),(B57*I5),AND(I6="Industrial",I4=2),(B58*I5),AND(I6="Industrial",I4=3),(B59*I5),AND(I6="Industrial",I4=4),(B60*I5))</f>
        <v>294</v>
      </c>
      <c r="H7" s="146" t="s">
        <v>75</v>
      </c>
      <c r="I7" s="53" t="str">
        <f>Calculator!B8</f>
        <v>Metro Water Recovery</v>
      </c>
      <c r="J7" s="141">
        <f>SUM(I5*B126)</f>
        <v>50</v>
      </c>
      <c r="K7" s="27" t="s">
        <v>19</v>
      </c>
      <c r="L7" s="28">
        <v>3</v>
      </c>
      <c r="M7" s="28">
        <v>5</v>
      </c>
    </row>
    <row r="8" spans="1:13" ht="17.25" x14ac:dyDescent="0.3">
      <c r="A8" s="22" t="s">
        <v>89</v>
      </c>
      <c r="B8" s="32" t="s">
        <v>96</v>
      </c>
      <c r="C8" s="127"/>
      <c r="D8" s="19" t="s">
        <v>106</v>
      </c>
      <c r="E8" s="20" t="s">
        <v>119</v>
      </c>
      <c r="F8" s="21"/>
      <c r="G8" s="139" cm="1">
        <f t="array" ref="G8">_xlfn.IFS(AND(I7="Lochbuie",I4=0.75),(B82*I5),AND(I7="Lochbuie",I4=1),(B83*I5),AND(I7="Lochbuie",I4=1.5),(B84*I5),AND(I7="Lochbuie",I4=2),(B85*I5),AND(I7="Lochbuie",I4=3),(B86*I5),AND(I7="Lochbuie",I4=4),(B87*I5),AND(I7="Metro Water Recovery",I4=0.75,I6="Residential"),(B70*I5),AND(I7="Metro Water Recovery",I4=1,I6="Residential"),(B70*I5),AND(I7="Metro Water Recovery",I4=1.5,I6="Residential"),(B70*I5),AND(I7="Metro Water Recovery",I4=2,I6="Residential"),(B70*I5),AND(I7="Metro Water Recovery",I4=3,I6="Residential"),(B70*I5),AND(I7="Metro Water Recovery",I4=4,I6="Residential"),(B70*I5),AND(I7="Metro Water Recovery",I4=0.75,I6="Multi-Unit"),(B74*I5),AND(I7="Metro Water Recovery",I4=1,I6="Multi-Unit"),(B75*I5),AND(I7="Metro Water Recovery",I4=1.5,I6="Multi-Unit"),(B76*I5),AND(I7="Metro Water Recovery",I4=2,I6="Multi-Unit"),(B77*I5),AND(I7="Metro Water Recovery",I4=3,I6="Multi-Unit"),(B78*I5),AND(I7="Metro Water Recovery",I4=4,I6="Multi-Unit"),(B79*I5))</f>
        <v>12140</v>
      </c>
      <c r="H8" s="146" t="s">
        <v>74</v>
      </c>
      <c r="I8" s="53" t="str">
        <f>Calculator!B9</f>
        <v>No</v>
      </c>
      <c r="J8" s="173" t="s">
        <v>132</v>
      </c>
      <c r="K8" s="27" t="s">
        <v>21</v>
      </c>
      <c r="L8" s="28">
        <v>4</v>
      </c>
      <c r="M8" s="28">
        <v>6</v>
      </c>
    </row>
    <row r="9" spans="1:13" ht="17.25" x14ac:dyDescent="0.3">
      <c r="A9" s="22" t="s">
        <v>90</v>
      </c>
      <c r="B9" s="32" t="s">
        <v>97</v>
      </c>
      <c r="C9" s="65"/>
      <c r="D9" s="19" t="s">
        <v>31</v>
      </c>
      <c r="E9" s="20" t="s">
        <v>112</v>
      </c>
      <c r="F9" s="21"/>
      <c r="G9" s="139" cm="1">
        <f t="array" ref="G9">_xlfn.IFS(I6="Residential",(B14*I3),I6="Multi-Unit",(B15*I3))</f>
        <v>0</v>
      </c>
      <c r="H9" s="146" t="s">
        <v>16</v>
      </c>
      <c r="I9" s="53" t="str">
        <f>Calculator!B10</f>
        <v>No</v>
      </c>
      <c r="J9" s="118">
        <f>B40*I5</f>
        <v>50</v>
      </c>
      <c r="K9" s="27" t="s">
        <v>22</v>
      </c>
      <c r="L9" s="26" t="s">
        <v>4</v>
      </c>
      <c r="M9" s="28">
        <v>7</v>
      </c>
    </row>
    <row r="10" spans="1:13" ht="17.25" x14ac:dyDescent="0.3">
      <c r="A10" s="22" t="s">
        <v>91</v>
      </c>
      <c r="B10" s="32" t="s">
        <v>98</v>
      </c>
      <c r="C10" s="128"/>
      <c r="D10" s="19" t="s">
        <v>32</v>
      </c>
      <c r="E10" s="20" t="s">
        <v>113</v>
      </c>
      <c r="F10" s="21"/>
      <c r="G10" s="139" cm="1">
        <f t="array" ref="G10">_xlfn.IFS(I6="Residential",((B21+B23)*I3),I6="Multi-Unit",((B21+B23)*I3),TRUE,0)</f>
        <v>0</v>
      </c>
      <c r="H10" s="146" t="s">
        <v>17</v>
      </c>
      <c r="I10" s="53" t="str">
        <f>Calculator!B11</f>
        <v>Multi-Unit</v>
      </c>
      <c r="J10" s="119" t="s">
        <v>135</v>
      </c>
      <c r="K10" s="27" t="s">
        <v>23</v>
      </c>
      <c r="L10" s="27" t="s">
        <v>6</v>
      </c>
      <c r="M10" s="28">
        <v>8</v>
      </c>
    </row>
    <row r="11" spans="1:13" ht="18" thickBot="1" x14ac:dyDescent="0.35">
      <c r="A11" s="78" t="s">
        <v>92</v>
      </c>
      <c r="B11" s="81" t="s">
        <v>99</v>
      </c>
      <c r="C11" s="129"/>
      <c r="D11" s="19" t="s">
        <v>167</v>
      </c>
      <c r="E11" s="20" t="s">
        <v>114</v>
      </c>
      <c r="F11" s="21"/>
      <c r="G11" s="139" cm="1">
        <f t="array" ref="G11">_xlfn.IFS(I6="Residential",(B26*I3),I6="Multi-Unit",(B27*I3),I6="Commercial",0,I6="Office",0,I6="Industrial",0,I6="Retail",0)</f>
        <v>0</v>
      </c>
      <c r="H11" s="146" t="s">
        <v>146</v>
      </c>
      <c r="I11" s="53" t="str">
        <f>Calculator!B12</f>
        <v>No</v>
      </c>
      <c r="J11" s="120">
        <f>IF(I6="Residential",SUM(I3*B127),0)</f>
        <v>0</v>
      </c>
      <c r="K11" s="27" t="s">
        <v>24</v>
      </c>
      <c r="L11" s="174" t="s">
        <v>5</v>
      </c>
      <c r="M11" s="180"/>
    </row>
    <row r="12" spans="1:13" ht="17.25" x14ac:dyDescent="0.3">
      <c r="A12" s="72" t="s">
        <v>206</v>
      </c>
      <c r="B12" s="73"/>
      <c r="C12" s="73"/>
      <c r="D12" s="19" t="s">
        <v>80</v>
      </c>
      <c r="E12" s="76" t="s">
        <v>121</v>
      </c>
      <c r="F12" s="77"/>
      <c r="G12" s="139" cm="1">
        <f t="array" ref="G12">_xlfn.IFS(I10="NA",0,I10="0 to 3",(B96*I3),I10="&gt; 3 to 4",(B97*I3),I10="&gt; 4 to 5",(B98*I3),I10="&gt; 5 to 6",(B99*I3),I10="&gt; 6 to 7",(B100*I3),I10="&gt; 7 to 9",(B101*I3),I10="&gt; 9 to 10",(B102*I3),I10="&gt; 10 to 11",(B103*I3),I10="&gt; 11",(B104*I3),I10="Multi-Unit",(B105*I3))</f>
        <v>0</v>
      </c>
      <c r="H12" s="146" t="s">
        <v>147</v>
      </c>
      <c r="I12" s="53" t="str">
        <f>Calculator!B13</f>
        <v>No</v>
      </c>
      <c r="J12" s="18"/>
      <c r="K12" s="95" t="s">
        <v>25</v>
      </c>
      <c r="L12" s="18"/>
      <c r="M12" s="169" t="s">
        <v>11</v>
      </c>
    </row>
    <row r="13" spans="1:13" ht="17.25" x14ac:dyDescent="0.3">
      <c r="A13" s="79" t="s">
        <v>67</v>
      </c>
      <c r="B13" s="40" t="s">
        <v>64</v>
      </c>
      <c r="C13" s="57" t="s">
        <v>65</v>
      </c>
      <c r="D13" s="19" t="s">
        <v>83</v>
      </c>
      <c r="E13" s="76" t="s">
        <v>115</v>
      </c>
      <c r="F13" s="77"/>
      <c r="G13" s="139" cm="1">
        <f t="array" ref="G13">_xlfn.IFS(AND(I6="Residential",I8="No"),(B91*I3),AND(I6="Multi-Unit",I8="No"),(B92*I3),TRUE,(0))</f>
        <v>0</v>
      </c>
      <c r="H13" s="146" t="s">
        <v>153</v>
      </c>
      <c r="I13" s="53" t="str">
        <f>Calculator!B14</f>
        <v>No</v>
      </c>
      <c r="J13" s="18"/>
      <c r="K13" s="95" t="s">
        <v>28</v>
      </c>
      <c r="L13" s="18"/>
      <c r="M13" s="28">
        <v>1</v>
      </c>
    </row>
    <row r="14" spans="1:13" ht="17.25" x14ac:dyDescent="0.3">
      <c r="A14" s="22" t="s">
        <v>10</v>
      </c>
      <c r="B14" s="38">
        <v>3638</v>
      </c>
      <c r="C14" s="121" t="s">
        <v>45</v>
      </c>
      <c r="D14" s="122" t="s">
        <v>81</v>
      </c>
      <c r="E14" s="123" t="s">
        <v>138</v>
      </c>
      <c r="F14" s="124"/>
      <c r="G14" s="140">
        <f>IF(I2&lt;=500,23.5,IF(I2&lt;=2000,(23.5+(I2-500)/100*3.05),IF(I2&lt;=25000,(69.25+(I2-2000)/1000*14),IF(I2&lt;=50000,(391.25+(I2-25000)/1000*10.1),IF(I2&lt;=100000,(643.75+(I2-50000)/1000*7),IF(I2&lt;=500000,(993.75+(I2-100000)/1000*5.6),IF(I2&lt;=1000000,(3233.75+(I2-500000)/1000*4.75),IF(I2&gt;1000000,(5608.75+(I2-1000000)/1000*3.15),"error"))))))))</f>
        <v>23.5</v>
      </c>
      <c r="H14" s="146" t="s">
        <v>152</v>
      </c>
      <c r="I14" s="53" t="str">
        <f>Calculator!B15</f>
        <v>No</v>
      </c>
      <c r="J14" s="18"/>
      <c r="K14" s="149" t="s">
        <v>78</v>
      </c>
      <c r="L14" s="175"/>
      <c r="M14" s="180"/>
    </row>
    <row r="15" spans="1:13" ht="17.25" x14ac:dyDescent="0.3">
      <c r="A15" s="22" t="s">
        <v>12</v>
      </c>
      <c r="B15" s="38">
        <v>3105</v>
      </c>
      <c r="C15" s="121" t="s">
        <v>45</v>
      </c>
      <c r="D15" s="130" t="s">
        <v>150</v>
      </c>
      <c r="E15" s="76" t="s">
        <v>161</v>
      </c>
      <c r="F15" s="77"/>
      <c r="G15" s="141">
        <f>IF(AND(I6="Residential",I13="Yes"),I3*151,0)</f>
        <v>0</v>
      </c>
      <c r="H15" s="146" t="s">
        <v>171</v>
      </c>
      <c r="I15" s="53" t="str">
        <f>Calculator!B16</f>
        <v>Yes</v>
      </c>
      <c r="J15" s="18"/>
      <c r="K15" s="27" t="s">
        <v>6</v>
      </c>
      <c r="L15" s="176" t="s">
        <v>5</v>
      </c>
      <c r="M15" s="178" t="s">
        <v>172</v>
      </c>
    </row>
    <row r="16" spans="1:13" ht="18" thickBot="1" x14ac:dyDescent="0.35">
      <c r="A16" s="22" t="s">
        <v>46</v>
      </c>
      <c r="B16" s="38">
        <v>1.03</v>
      </c>
      <c r="C16" s="121" t="s">
        <v>48</v>
      </c>
      <c r="D16" s="137" t="s">
        <v>151</v>
      </c>
      <c r="E16" s="123" t="s">
        <v>161</v>
      </c>
      <c r="F16" s="124"/>
      <c r="G16" s="142">
        <f>IF(AND(I6="Residential",I14="Yes"),I3*149,0)</f>
        <v>0</v>
      </c>
      <c r="H16" s="146" t="s">
        <v>173</v>
      </c>
      <c r="I16" s="150" t="str">
        <f>Calculator!B17</f>
        <v>Yes</v>
      </c>
      <c r="J16" s="18"/>
      <c r="K16" s="27" t="s">
        <v>11</v>
      </c>
      <c r="L16" s="176" t="s">
        <v>27</v>
      </c>
      <c r="M16" s="179">
        <v>0.3</v>
      </c>
    </row>
    <row r="17" spans="1:14" ht="18" thickBot="1" x14ac:dyDescent="0.35">
      <c r="A17" s="22" t="s">
        <v>47</v>
      </c>
      <c r="B17" s="38">
        <v>0.38</v>
      </c>
      <c r="C17" s="24" t="s">
        <v>48</v>
      </c>
      <c r="D17" s="160" t="s">
        <v>82</v>
      </c>
      <c r="E17" s="158" t="s">
        <v>192</v>
      </c>
      <c r="F17" s="158"/>
      <c r="G17" s="161">
        <f>IFERROR(SUM(G3:G16),"Review Entries")</f>
        <v>18791.705000000002</v>
      </c>
      <c r="H17" s="146" t="s">
        <v>174</v>
      </c>
      <c r="I17" s="150" t="str">
        <f>Calculator!B18</f>
        <v>Yes</v>
      </c>
      <c r="J17" s="18"/>
      <c r="K17" s="27" t="s">
        <v>18</v>
      </c>
      <c r="L17" s="95" t="s">
        <v>11</v>
      </c>
      <c r="M17" s="179">
        <v>0.4</v>
      </c>
    </row>
    <row r="18" spans="1:14" ht="18" thickBot="1" x14ac:dyDescent="0.35">
      <c r="A18" s="29" t="s">
        <v>49</v>
      </c>
      <c r="B18" s="39">
        <v>0.43</v>
      </c>
      <c r="C18" s="30" t="s">
        <v>48</v>
      </c>
      <c r="D18" s="162" t="s">
        <v>181</v>
      </c>
      <c r="E18" s="187" t="s">
        <v>190</v>
      </c>
      <c r="F18" s="187"/>
      <c r="G18" s="194">
        <f>IFERROR(SUM(G17-G28),"Review Entries")</f>
        <v>17546.705000000002</v>
      </c>
      <c r="H18" s="148" t="s">
        <v>175</v>
      </c>
      <c r="I18" s="54">
        <f>Calculator!B19</f>
        <v>0.8</v>
      </c>
      <c r="J18" s="18"/>
      <c r="K18" s="27" t="s">
        <v>20</v>
      </c>
      <c r="L18" s="18"/>
      <c r="M18" s="179">
        <v>0.5</v>
      </c>
    </row>
    <row r="19" spans="1:14" ht="17.25" x14ac:dyDescent="0.3">
      <c r="A19" s="61" t="s">
        <v>207</v>
      </c>
      <c r="B19" s="62"/>
      <c r="C19" s="62"/>
      <c r="D19" s="151"/>
      <c r="E19" s="104"/>
      <c r="F19" s="104" t="s">
        <v>191</v>
      </c>
      <c r="G19" s="152"/>
      <c r="H19" s="182"/>
      <c r="I19" s="18"/>
      <c r="J19" s="18"/>
      <c r="K19" s="27" t="s">
        <v>19</v>
      </c>
      <c r="L19" s="18"/>
      <c r="M19" s="179">
        <v>0.6</v>
      </c>
    </row>
    <row r="20" spans="1:14" ht="17.25" x14ac:dyDescent="0.3">
      <c r="A20" s="56" t="s">
        <v>67</v>
      </c>
      <c r="B20" s="40" t="s">
        <v>64</v>
      </c>
      <c r="C20" s="57" t="s">
        <v>65</v>
      </c>
      <c r="D20" s="154" t="s">
        <v>67</v>
      </c>
      <c r="E20" s="154" t="s">
        <v>76</v>
      </c>
      <c r="F20" s="154" t="s">
        <v>187</v>
      </c>
      <c r="G20" s="183" t="s">
        <v>186</v>
      </c>
      <c r="H20" s="154" t="s">
        <v>188</v>
      </c>
      <c r="I20" s="18"/>
      <c r="J20" s="18"/>
      <c r="K20" s="27" t="s">
        <v>21</v>
      </c>
      <c r="L20" s="18"/>
      <c r="M20" s="179">
        <v>0.7</v>
      </c>
    </row>
    <row r="21" spans="1:14" ht="17.25" x14ac:dyDescent="0.3">
      <c r="A21" s="79" t="s">
        <v>44</v>
      </c>
      <c r="B21" s="23">
        <v>2063</v>
      </c>
      <c r="C21" s="121" t="s">
        <v>45</v>
      </c>
      <c r="D21" s="143" t="s">
        <v>73</v>
      </c>
      <c r="E21" s="163" t="s">
        <v>182</v>
      </c>
      <c r="F21" s="155" t="str">
        <f>IF(I15="Yes","100%","0%")</f>
        <v>100%</v>
      </c>
      <c r="G21" s="184" cm="1">
        <f t="array" ref="G21">_xlfn.IFS(F21="0%",0,F21="100%",G3)</f>
        <v>0</v>
      </c>
      <c r="H21" s="186" cm="1">
        <f t="array" ref="H21">_xlfn.IFS(F21="0%",G3,F21="100%",0)</f>
        <v>0</v>
      </c>
      <c r="I21" s="18"/>
      <c r="J21" s="18"/>
      <c r="K21" s="27" t="s">
        <v>22</v>
      </c>
      <c r="L21" s="18"/>
      <c r="M21" s="179">
        <v>0.8</v>
      </c>
    </row>
    <row r="22" spans="1:14" ht="17.25" x14ac:dyDescent="0.3">
      <c r="A22" s="64" t="s">
        <v>208</v>
      </c>
      <c r="B22" s="65"/>
      <c r="C22" s="65"/>
      <c r="D22" s="143" t="s">
        <v>101</v>
      </c>
      <c r="E22" s="163" t="s">
        <v>183</v>
      </c>
      <c r="F22" s="154" t="str" cm="1">
        <f t="array" ref="F22">_xlfn.IFS(I18=0.8,("20%"),I18=0.7,("30%"),I18=0.6,("40%"),I18=0.5,("50%"),I18=0.4,("60%"),I18=0.3,("70%"))</f>
        <v>20%</v>
      </c>
      <c r="G22" s="184" cm="1">
        <f t="array" ref="G22">_xlfn.IFS(F22="20%",(G6*0.2),F22="30%",(G6*0.3),F22="40%",(G6*0.4),F22="50%",(G6*0.5),F22="60%",(G6*0.6),F22="70%",(G6*0.7))</f>
        <v>1186.2</v>
      </c>
      <c r="H22" s="186" cm="1">
        <f t="array" ref="H22">_xlfn.IFS(F22="20%",(G6*0.8),F22="30%",(G6*0.7),F22="40%",(G6*0.6),F22="50%",(G6*0.5),F22="60%",(G6*0.4),F22="70%",(G6*0.3))</f>
        <v>4744.8</v>
      </c>
      <c r="I22" s="18"/>
      <c r="J22" s="18"/>
      <c r="K22" s="27" t="s">
        <v>23</v>
      </c>
      <c r="L22" s="18"/>
      <c r="M22" s="180"/>
    </row>
    <row r="23" spans="1:14" ht="18" thickBot="1" x14ac:dyDescent="0.35">
      <c r="A23" s="78" t="s">
        <v>44</v>
      </c>
      <c r="B23" s="33">
        <v>2063</v>
      </c>
      <c r="C23" s="153" t="s">
        <v>45</v>
      </c>
      <c r="D23" s="143" t="s">
        <v>100</v>
      </c>
      <c r="E23" s="163" t="s">
        <v>183</v>
      </c>
      <c r="F23" s="154" t="str" cm="1">
        <f t="array" ref="F23">_xlfn.IFS(I18=0.8,("20%"),I18=0.7,("30%"),I18=0.6,("40%"),I18=0.5,("50%"),I18=0.4,("60%"),I18=0.3,("70%"))</f>
        <v>20%</v>
      </c>
      <c r="G23" s="184" cm="1">
        <f t="array" ref="G23">_xlfn.IFS(F23="20%",(G7*0.2),F23="30%",(G7*0.3),F23="40%",(G7*0.4),F23="50%",(G7*0.5),F23="60%",(G7*0.6),F23="70%",(G7*0.7))</f>
        <v>58.800000000000004</v>
      </c>
      <c r="H23" s="186" cm="1">
        <f t="array" ref="H23">_xlfn.IFS(F23="20%",(G7*0.8),F23="30%",(G7*0.7),F23="40%",(G7*0.6),F23="50%",(G7*0.5),F23="60%",(G7*0.4),F23="70%",(G7*0.3))</f>
        <v>235.20000000000002</v>
      </c>
      <c r="I23" s="18"/>
      <c r="J23" s="18"/>
      <c r="K23" s="27" t="s">
        <v>24</v>
      </c>
      <c r="L23" s="18"/>
      <c r="M23" s="180"/>
    </row>
    <row r="24" spans="1:14" ht="17.25" x14ac:dyDescent="0.3">
      <c r="A24" s="72" t="s">
        <v>209</v>
      </c>
      <c r="B24" s="73"/>
      <c r="C24" s="73"/>
      <c r="D24" s="143" t="s">
        <v>180</v>
      </c>
      <c r="E24" s="163" t="s">
        <v>183</v>
      </c>
      <c r="F24" s="154" t="str" cm="1">
        <f t="array" ref="F24">_xlfn.IFS(I18=0.8,("20%"),I18=0.7,("30%"),I18=0.6,("40%"),I18=0.5,("50%"),I18=0.4,("60%"),I18=0.3,("70%"))</f>
        <v>20%</v>
      </c>
      <c r="G24" s="184" cm="1">
        <f t="array" ref="G24">_xlfn.IFS(F24="20%",(G13*0.2),F24="30%",(G13*0.3),F24="40%",(G13*0.4),F24="50%",(G13*0.5),F24="60%",(G13*0.6),F24="70%",(G13*0.7))</f>
        <v>0</v>
      </c>
      <c r="H24" s="186" cm="1">
        <f t="array" ref="H24">_xlfn.IFS(F24="20%",(G13*0.8),F24="30%",(G13*0.7),F24="40%",(G13*0.6),F24="50%",(G13*0.5),F24="60%",(G13*0.4),F24="70%",(G13*0.3))</f>
        <v>0</v>
      </c>
      <c r="I24" s="18"/>
      <c r="J24" s="18"/>
      <c r="K24" s="27" t="s">
        <v>25</v>
      </c>
      <c r="L24" s="18"/>
    </row>
    <row r="25" spans="1:14" ht="17.25" x14ac:dyDescent="0.3">
      <c r="A25" s="43" t="s">
        <v>67</v>
      </c>
      <c r="B25" s="40" t="s">
        <v>64</v>
      </c>
      <c r="C25" s="57" t="s">
        <v>65</v>
      </c>
      <c r="D25" s="143" t="s">
        <v>32</v>
      </c>
      <c r="E25" s="163" t="s">
        <v>184</v>
      </c>
      <c r="F25" s="155" t="str" cm="1">
        <f t="array" ref="F25">_xlfn.IFS(AND(I18=0.8,I17="No"),("20%"),AND(I18=0.7,I17="No"),("50%"),AND(I18=0.6,I17="No"),("50%"),AND(I18=0.5,I17="No"),("100%"),AND(I18=0.4,I17="No"),("100%"),AND(I18=0.3,I17="No"),("100%"),I17="Yes",("100%"))</f>
        <v>100%</v>
      </c>
      <c r="G25" s="184" cm="1">
        <f t="array" ref="G25">_xlfn.IFS(AND(I18=0.8,I17="No"),(G10*0.2),AND(I18=0.7,I17="No"),(G10*0.5),AND(I18=0.6,I17="No"),(G10*0.5),AND(I18=0.5,I17="No"),(G10*1),AND(I18=0.4,I17="No"),(G10*1),AND(I18=0.3,I17="No"),(G10*1),AND(I17="Yes",I16="No"),(G10*1),AND(I17="No",I16="Yes"),(G10*1),AND(I17="Yes",I16="Yes"),(G10*1))</f>
        <v>0</v>
      </c>
      <c r="H25" s="186" cm="1">
        <f t="array" ref="H25">_xlfn.IFS(AND(I18=0.8,I17="No"),(G10*0.8),AND(I18=0.7,I17="No"),(G10*0.5),AND(I18=0.6,I17="No"),(G10*0.5),AND(I18=0.5,I17="No"),(G10*0),AND(I18=0.4,I17="No"),(G10*0),AND(I18=0.3,I17="No"),(G10*0),AND(I17="Yes",I16="No"),(G10*0),AND(I17="No",I16="Yes"),(G10*0),AND(I17="Yes",I16="Yes"),(G10*0))</f>
        <v>0</v>
      </c>
      <c r="I25" s="18"/>
      <c r="J25" s="18"/>
      <c r="K25" s="27" t="s">
        <v>28</v>
      </c>
      <c r="L25" s="18"/>
    </row>
    <row r="26" spans="1:14" ht="17.25" x14ac:dyDescent="0.3">
      <c r="A26" s="25" t="s">
        <v>10</v>
      </c>
      <c r="B26" s="23">
        <v>1096</v>
      </c>
      <c r="C26" s="121" t="s">
        <v>45</v>
      </c>
      <c r="D26" s="143" t="s">
        <v>31</v>
      </c>
      <c r="E26" s="163" t="s">
        <v>183</v>
      </c>
      <c r="F26" s="154" t="str" cm="1">
        <f t="array" ref="F26">_xlfn.IFS(AND(I18=0.8,I16="No"),("20%"),AND(I18=0.7,I16="No"),("30%"),AND(I18=0.6,I16="No"),("40%"),AND(I18=0.5,I16="No"),("50%"),AND(I18=0.4,I16="No"),("60%"),AND(I18=0.3,I16="No"),("70%"),AND(I18=0.8,I16="Yes"),("100%"),AND(I18=0.7,I16="Yes"),("100%"),AND(I18=0.6,I16="Yes"),("100%"),AND(I18=0.5,I16="Yes"),("100%"),AND(I18=0.4,I16="Yes"),("100%"),AND(I18=0.3,I16="Yes"),("100%"))</f>
        <v>100%</v>
      </c>
      <c r="G26" s="184" cm="1">
        <f t="array" ref="G26">_xlfn.IFS(AND(F26="20%",I16="No"),(G9*0.2),AND(F26="30%",I16="No"),(G9*0.3),AND(F26="40%",I16="No"),(G9*0.4),AND(F26="50%",I16="No"),(G9*0.5),AND(F26="60%",I16="No"),(G9*0.6),AND(F26="70%",I16="No"),(G9*0.7),AND(F26="20%",I16="Yes"),(G9*1),AND(F26="30%",I16="Yes"),(G9*1),AND(F26="40%",I16="Yes"),(G9*1),AND(F26="50%",I16="Yes"),(G9*1),AND(F26="60%",I16="Yes"),(G9*1),AND(F26="70%",I16="Yes"),(G9*1),AND(F26="100%",I16="Yes"),(G9*1))</f>
        <v>0</v>
      </c>
      <c r="H26" s="186" cm="1">
        <f t="array" ref="H26">_xlfn.IFS(AND(F26="20%",I16="No"),(G9*0.8),AND(F26="30%",I16="No"),(G9*0.7),AND(F26="40%",I16="No"),(G9*0.6),AND(F26="50%",I16="No"),(G9*0.5),AND(F26="60%",I16="No"),(G9*0.4),AND(F26="70%",I16="No"),(G9*0.3),AND(F26="20%",I16="Yes"),(G9*0),AND(F26="30%",I16="Yes"),(G9*0),AND(F26="40%",I16="Yes"),(G9*0),AND(F26="50%",I16="Yes"),(G9*0),AND(F26="60%",I16="Yes"),(G9*0),AND(F26="70%",I16="Yes"),(G9*0),AND(F26="100%",I16="Yes"),(G9*0))</f>
        <v>0</v>
      </c>
      <c r="I26" s="18"/>
      <c r="J26" s="18"/>
      <c r="K26" s="26" t="s">
        <v>34</v>
      </c>
      <c r="L26" s="177" t="s">
        <v>38</v>
      </c>
    </row>
    <row r="27" spans="1:14" ht="18" thickBot="1" x14ac:dyDescent="0.35">
      <c r="A27" s="49" t="s">
        <v>12</v>
      </c>
      <c r="B27" s="89">
        <v>898</v>
      </c>
      <c r="C27" s="159" t="s">
        <v>45</v>
      </c>
      <c r="D27" s="156" t="s">
        <v>167</v>
      </c>
      <c r="E27" s="164" t="s">
        <v>183</v>
      </c>
      <c r="F27" s="157" t="str" cm="1">
        <f t="array" ref="F27">_xlfn.IFS(AND(I18=0.8,I16="No"),("20%"),AND(I18=0.7,I16="No"),("30%"),AND(I18=0.6,I16="No"),("40%"),AND(I18=0.5,I16="No"),("50%"),AND(I18=0.4,I16="No"),("60%"),AND(I18=0.3,I16="No"),("70%"),AND(I18=0.8,I16="Yes"),("100%"),AND(I18=0.7,I16="Yes"),("100%"),AND(I18=0.6,I16="Yes"),("100%"),AND(I18=0.5,I16="Yes"),("100%"),AND(I18=0.4,I16="Yes"),("100%"),AND(I18=0.3,I16="Yes"),("100%"))</f>
        <v>100%</v>
      </c>
      <c r="G27" s="185" cm="1">
        <f t="array" ref="G27">_xlfn.IFS(AND(F26="20%",I16="No"),(G11*0.2),AND(F26="30%",I16="No"),(G11*0.3),AND(F26="40%",I16="No"),(G11*0.4),AND(F26="50%",I16="No"),(G11*0.5),AND(F26="60%",I16="No"),(G11*0.6),AND(F26="70%",I16="No"),(G11*0.7),AND(F26="20%",I16="Yes"),(G11*1),AND(F26="30%",I16="Yes"),(G11*1),AND(F26="40%",I16="Yes"),(G11*1),AND(F26="50%",I16="Yes"),(G11*1),AND(F26="60%",I16="Yes"),(G11*1),AND(F26="70%",I16="Yes"),(G11*1),AND(F26="100%",I16="Yes"),(G11*1))</f>
        <v>0</v>
      </c>
      <c r="H27" s="190" cm="1">
        <f t="array" ref="H27">_xlfn.IFS(AND(F26="20%",I16="No"),(G11*0.8),AND(F26="30%",I16="No"),(G11*0.7),AND(F26="40%",I16="No"),(G11*0.6),AND(F26="50%",I16="No"),(G11*0.5),AND(F26="60%",I16="No"),(G11*0.4),AND(F26="70%",I16="No"),(G11*0.3),AND(F26="20%",I16="Yes"),(G11*0),AND(F26="30%",I16="Yes"),(G11*0),AND(F26="40%",I16="Yes"),(G11*0),AND(F26="50%",I16="Yes"),(G11*0),AND(F26="60%",I16="Yes"),(G11*0),AND(F26="70%",I16="Yes"),(G11*0),AND(F26="100%",I16="Yes"),(G11*0))</f>
        <v>0</v>
      </c>
      <c r="I27" s="18"/>
      <c r="J27" s="18"/>
      <c r="K27" s="27" t="s">
        <v>33</v>
      </c>
      <c r="L27" s="95" t="s">
        <v>170</v>
      </c>
      <c r="M27" t="s">
        <v>104</v>
      </c>
    </row>
    <row r="28" spans="1:14" ht="18" thickBot="1" x14ac:dyDescent="0.35">
      <c r="A28" s="67" t="s">
        <v>129</v>
      </c>
      <c r="B28" s="68"/>
      <c r="C28" s="97"/>
      <c r="D28" s="193" t="s">
        <v>189</v>
      </c>
      <c r="E28" s="158"/>
      <c r="F28" s="188"/>
      <c r="G28" s="189">
        <f>SUM(G21:G27)</f>
        <v>1245</v>
      </c>
      <c r="H28" s="191">
        <f>SUM(H21:H27)</f>
        <v>4980</v>
      </c>
      <c r="I28" s="18"/>
      <c r="J28" s="18"/>
      <c r="K28" s="96" t="s">
        <v>11</v>
      </c>
      <c r="L28" s="174" t="s">
        <v>7</v>
      </c>
    </row>
    <row r="29" spans="1:14" ht="18" thickBot="1" x14ac:dyDescent="0.35">
      <c r="A29" s="108" t="s">
        <v>210</v>
      </c>
      <c r="B29" s="109"/>
      <c r="C29" s="110"/>
      <c r="I29" s="18"/>
      <c r="J29" s="18"/>
      <c r="K29" s="18"/>
      <c r="L29" s="18"/>
    </row>
    <row r="30" spans="1:14" ht="17.25" x14ac:dyDescent="0.3">
      <c r="A30" s="44" t="s">
        <v>37</v>
      </c>
      <c r="B30" s="46" t="s">
        <v>64</v>
      </c>
      <c r="C30" s="41" t="s">
        <v>65</v>
      </c>
      <c r="D30" s="18"/>
      <c r="E30" s="18"/>
      <c r="F30" s="18"/>
      <c r="G30" s="18"/>
      <c r="H30" s="18"/>
      <c r="I30" s="18"/>
      <c r="J30" s="18"/>
      <c r="M30" s="180"/>
    </row>
    <row r="31" spans="1:14" ht="17.25" x14ac:dyDescent="0.3">
      <c r="A31" s="25">
        <v>0.75</v>
      </c>
      <c r="B31" s="35">
        <v>18403</v>
      </c>
      <c r="C31" s="24" t="s">
        <v>118</v>
      </c>
      <c r="D31" s="18"/>
      <c r="E31" s="18"/>
      <c r="F31" s="18"/>
      <c r="G31" s="80"/>
      <c r="J31" s="18"/>
      <c r="M31" s="180"/>
    </row>
    <row r="32" spans="1:14" ht="17.25" x14ac:dyDescent="0.3">
      <c r="A32" s="25">
        <v>1</v>
      </c>
      <c r="B32" s="35">
        <v>30671</v>
      </c>
      <c r="C32" s="24" t="s">
        <v>118</v>
      </c>
      <c r="D32" s="18"/>
      <c r="E32" s="18"/>
      <c r="F32" s="94"/>
      <c r="G32" s="80"/>
      <c r="J32" s="18"/>
      <c r="M32" s="180"/>
      <c r="N32" s="180"/>
    </row>
    <row r="33" spans="1:20" ht="17.25" x14ac:dyDescent="0.3">
      <c r="A33" s="25">
        <v>1.5</v>
      </c>
      <c r="B33" s="35">
        <v>61343</v>
      </c>
      <c r="C33" s="24" t="s">
        <v>118</v>
      </c>
      <c r="M33" s="180"/>
      <c r="N33" s="180"/>
    </row>
    <row r="34" spans="1:20" ht="17.25" x14ac:dyDescent="0.3">
      <c r="A34" s="25">
        <v>2</v>
      </c>
      <c r="B34" s="35">
        <v>98148</v>
      </c>
      <c r="C34" s="24" t="s">
        <v>118</v>
      </c>
      <c r="H34" s="192"/>
      <c r="M34" s="180"/>
      <c r="N34" s="181"/>
    </row>
    <row r="35" spans="1:20" ht="17.25" x14ac:dyDescent="0.3">
      <c r="A35" s="25">
        <v>3</v>
      </c>
      <c r="B35" s="35">
        <v>214699</v>
      </c>
      <c r="C35" s="24" t="s">
        <v>118</v>
      </c>
      <c r="M35" s="180"/>
      <c r="N35" s="180"/>
    </row>
    <row r="36" spans="1:20" ht="18" thickBot="1" x14ac:dyDescent="0.35">
      <c r="A36" s="49">
        <v>4</v>
      </c>
      <c r="B36" s="50">
        <v>368056</v>
      </c>
      <c r="C36" s="24" t="s">
        <v>118</v>
      </c>
      <c r="M36" s="180"/>
      <c r="N36" s="180"/>
    </row>
    <row r="37" spans="1:20" ht="18" thickBot="1" x14ac:dyDescent="0.35">
      <c r="A37" s="105" t="s">
        <v>211</v>
      </c>
      <c r="B37" s="106"/>
      <c r="C37" s="107"/>
      <c r="D37" s="18"/>
      <c r="M37" s="180"/>
      <c r="N37" s="180"/>
    </row>
    <row r="38" spans="1:20" ht="17.25" x14ac:dyDescent="0.3">
      <c r="A38" s="85" t="s">
        <v>50</v>
      </c>
      <c r="B38" s="86">
        <v>18403</v>
      </c>
      <c r="C38" s="24" t="s">
        <v>203</v>
      </c>
      <c r="D38" s="18"/>
      <c r="M38" s="180"/>
    </row>
    <row r="39" spans="1:20" ht="18" thickBot="1" x14ac:dyDescent="0.35">
      <c r="A39" s="34" t="s">
        <v>116</v>
      </c>
      <c r="B39" s="36">
        <v>11041</v>
      </c>
      <c r="C39" s="30" t="s">
        <v>204</v>
      </c>
      <c r="D39" s="18" t="s">
        <v>104</v>
      </c>
      <c r="M39" s="180"/>
    </row>
    <row r="40" spans="1:20" ht="17.25" x14ac:dyDescent="0.3">
      <c r="A40" s="51" t="s">
        <v>212</v>
      </c>
      <c r="B40" s="37">
        <v>50</v>
      </c>
      <c r="C40" s="100"/>
      <c r="D40" s="18"/>
      <c r="H40" s="18"/>
      <c r="M40" s="180"/>
    </row>
    <row r="41" spans="1:20" ht="18" thickBot="1" x14ac:dyDescent="0.35">
      <c r="A41" s="84" t="s">
        <v>213</v>
      </c>
      <c r="B41" s="50">
        <v>100</v>
      </c>
      <c r="C41" s="100"/>
      <c r="D41" s="18"/>
      <c r="H41" s="18"/>
      <c r="M41" s="180"/>
    </row>
    <row r="42" spans="1:20" ht="18" thickBot="1" x14ac:dyDescent="0.35">
      <c r="A42" s="105" t="s">
        <v>214</v>
      </c>
      <c r="B42" s="106"/>
      <c r="C42" s="113"/>
      <c r="G42" s="18"/>
      <c r="H42" s="18"/>
      <c r="M42" s="180"/>
    </row>
    <row r="43" spans="1:20" ht="17.25" x14ac:dyDescent="0.3">
      <c r="A43" s="44" t="s">
        <v>37</v>
      </c>
      <c r="B43" s="46" t="s">
        <v>64</v>
      </c>
      <c r="C43" s="41" t="s">
        <v>65</v>
      </c>
      <c r="G43" s="18"/>
      <c r="H43" s="18"/>
      <c r="M43" s="180"/>
    </row>
    <row r="44" spans="1:20" ht="17.25" x14ac:dyDescent="0.3">
      <c r="A44" s="25">
        <v>0.75</v>
      </c>
      <c r="B44" s="35">
        <v>287.93</v>
      </c>
      <c r="C44" s="24" t="s">
        <v>118</v>
      </c>
      <c r="G44" s="18"/>
      <c r="H44" s="18"/>
      <c r="M44" s="180"/>
    </row>
    <row r="45" spans="1:20" ht="17.25" x14ac:dyDescent="0.3">
      <c r="A45" s="25">
        <v>1</v>
      </c>
      <c r="B45" s="35">
        <v>363.76</v>
      </c>
      <c r="C45" s="24" t="s">
        <v>118</v>
      </c>
      <c r="G45" s="18"/>
      <c r="H45" s="18"/>
      <c r="M45" s="180"/>
    </row>
    <row r="46" spans="1:20" ht="17.25" x14ac:dyDescent="0.3">
      <c r="A46" s="25">
        <v>1.5</v>
      </c>
      <c r="B46" s="35">
        <v>820.58</v>
      </c>
      <c r="C46" s="24" t="s">
        <v>118</v>
      </c>
      <c r="G46" s="18"/>
      <c r="H46" s="18"/>
      <c r="M46" s="180"/>
    </row>
    <row r="47" spans="1:20" ht="17.25" x14ac:dyDescent="0.3">
      <c r="A47" s="25">
        <v>2</v>
      </c>
      <c r="B47" s="35">
        <v>1007.75</v>
      </c>
      <c r="C47" s="24" t="s">
        <v>118</v>
      </c>
      <c r="G47" s="18"/>
      <c r="H47" s="18"/>
      <c r="M47" s="180"/>
    </row>
    <row r="48" spans="1:20" ht="17.25" x14ac:dyDescent="0.3">
      <c r="A48" s="25">
        <v>3</v>
      </c>
      <c r="B48" s="35">
        <v>3435.06</v>
      </c>
      <c r="C48" s="24" t="s">
        <v>118</v>
      </c>
      <c r="G48" s="18"/>
      <c r="H48" s="18"/>
      <c r="M48" s="180"/>
      <c r="R48" s="12"/>
      <c r="S48" s="12"/>
      <c r="T48" s="12"/>
    </row>
    <row r="49" spans="1:13" ht="17.25" x14ac:dyDescent="0.3">
      <c r="A49" s="25">
        <v>4</v>
      </c>
      <c r="B49" s="35">
        <v>3800.89</v>
      </c>
      <c r="C49" s="24" t="s">
        <v>118</v>
      </c>
      <c r="G49" s="18"/>
      <c r="H49" s="18"/>
      <c r="M49" s="180"/>
    </row>
    <row r="50" spans="1:13" ht="18" thickBot="1" x14ac:dyDescent="0.35">
      <c r="A50" s="34">
        <v>6</v>
      </c>
      <c r="B50" s="36">
        <v>5954.51</v>
      </c>
      <c r="C50" s="24" t="s">
        <v>118</v>
      </c>
      <c r="G50" s="18"/>
      <c r="H50" s="18"/>
      <c r="M50" s="180"/>
    </row>
    <row r="51" spans="1:13" ht="17.25" x14ac:dyDescent="0.3">
      <c r="A51" s="67" t="s">
        <v>70</v>
      </c>
      <c r="B51" s="68"/>
      <c r="C51" s="69"/>
      <c r="D51" s="18"/>
      <c r="G51" s="18"/>
      <c r="H51" s="18"/>
      <c r="M51" s="180"/>
    </row>
    <row r="52" spans="1:13" ht="17.25" x14ac:dyDescent="0.3">
      <c r="A52" s="70" t="s">
        <v>69</v>
      </c>
      <c r="B52" s="87"/>
      <c r="C52" s="71"/>
      <c r="D52" s="18"/>
      <c r="G52" s="18"/>
      <c r="H52" s="18"/>
      <c r="M52" s="180"/>
    </row>
    <row r="53" spans="1:13" ht="17.25" x14ac:dyDescent="0.3">
      <c r="A53" s="72" t="s">
        <v>215</v>
      </c>
      <c r="B53" s="73"/>
      <c r="C53" s="74"/>
      <c r="D53" s="18"/>
      <c r="G53" s="18"/>
      <c r="H53" s="18"/>
      <c r="M53" s="180"/>
    </row>
    <row r="54" spans="1:13" ht="17.25" x14ac:dyDescent="0.3">
      <c r="A54" s="44" t="s">
        <v>37</v>
      </c>
      <c r="B54" s="45" t="s">
        <v>64</v>
      </c>
      <c r="C54" s="46" t="s">
        <v>65</v>
      </c>
      <c r="D54" s="18"/>
      <c r="G54" s="18"/>
      <c r="H54" s="18"/>
      <c r="M54" s="180"/>
    </row>
    <row r="55" spans="1:13" ht="17.25" x14ac:dyDescent="0.3">
      <c r="A55" s="25">
        <v>0.75</v>
      </c>
      <c r="B55" s="38">
        <v>837</v>
      </c>
      <c r="C55" s="24" t="s">
        <v>118</v>
      </c>
      <c r="D55" s="18"/>
      <c r="G55" s="18"/>
      <c r="H55" s="18"/>
      <c r="M55" s="180"/>
    </row>
    <row r="56" spans="1:13" ht="17.25" x14ac:dyDescent="0.3">
      <c r="A56" s="25">
        <v>1</v>
      </c>
      <c r="B56" s="38">
        <v>1395</v>
      </c>
      <c r="C56" s="24" t="s">
        <v>118</v>
      </c>
      <c r="D56" s="18"/>
      <c r="G56" s="18"/>
      <c r="H56" s="18"/>
      <c r="M56" s="180"/>
    </row>
    <row r="57" spans="1:13" ht="17.25" x14ac:dyDescent="0.3">
      <c r="A57" s="25">
        <v>1.5</v>
      </c>
      <c r="B57" s="38">
        <v>2790</v>
      </c>
      <c r="C57" s="24" t="s">
        <v>118</v>
      </c>
      <c r="D57" s="18"/>
      <c r="G57" s="18"/>
      <c r="H57" s="18"/>
      <c r="M57" s="180"/>
    </row>
    <row r="58" spans="1:13" ht="17.25" x14ac:dyDescent="0.3">
      <c r="A58" s="25">
        <v>2</v>
      </c>
      <c r="B58" s="38">
        <v>4464</v>
      </c>
      <c r="C58" s="24" t="s">
        <v>118</v>
      </c>
      <c r="D58" s="18"/>
      <c r="G58" s="18"/>
      <c r="H58" s="18"/>
      <c r="M58" s="180"/>
    </row>
    <row r="59" spans="1:13" ht="17.25" x14ac:dyDescent="0.3">
      <c r="A59" s="25">
        <v>3</v>
      </c>
      <c r="B59" s="38">
        <v>8928</v>
      </c>
      <c r="C59" s="24" t="s">
        <v>118</v>
      </c>
      <c r="D59" s="18"/>
      <c r="G59" s="18" t="s">
        <v>104</v>
      </c>
      <c r="H59" s="18"/>
      <c r="M59" s="180"/>
    </row>
    <row r="60" spans="1:13" ht="18" thickBot="1" x14ac:dyDescent="0.35">
      <c r="A60" s="49">
        <v>4</v>
      </c>
      <c r="B60" s="47">
        <v>13950</v>
      </c>
      <c r="C60" s="48" t="s">
        <v>118</v>
      </c>
      <c r="D60" s="18"/>
      <c r="G60" s="18" t="s">
        <v>104</v>
      </c>
      <c r="H60" s="18"/>
      <c r="M60" s="180"/>
    </row>
    <row r="61" spans="1:13" ht="17.25" x14ac:dyDescent="0.3">
      <c r="A61" s="67" t="s">
        <v>70</v>
      </c>
      <c r="B61" s="68"/>
      <c r="C61" s="90"/>
      <c r="D61" s="18"/>
      <c r="G61" s="18"/>
      <c r="H61" s="18"/>
      <c r="M61" s="180"/>
    </row>
    <row r="62" spans="1:13" ht="17.25" x14ac:dyDescent="0.3">
      <c r="A62" s="70" t="s">
        <v>71</v>
      </c>
      <c r="B62" s="87"/>
      <c r="C62" s="91"/>
      <c r="D62" s="18"/>
      <c r="G62" s="18"/>
      <c r="H62" s="18"/>
      <c r="M62" s="180"/>
    </row>
    <row r="63" spans="1:13" ht="17.25" x14ac:dyDescent="0.3">
      <c r="A63" s="70" t="s">
        <v>122</v>
      </c>
      <c r="B63" s="87"/>
      <c r="C63" s="91"/>
      <c r="D63" s="18"/>
      <c r="G63" s="18"/>
      <c r="H63" s="18"/>
      <c r="M63" s="180"/>
    </row>
    <row r="64" spans="1:13" ht="17.25" x14ac:dyDescent="0.3">
      <c r="A64" s="43" t="s">
        <v>67</v>
      </c>
      <c r="B64" s="40" t="s">
        <v>64</v>
      </c>
      <c r="C64" s="41" t="s">
        <v>65</v>
      </c>
      <c r="D64" s="18"/>
      <c r="G64" s="18"/>
      <c r="H64" s="18"/>
      <c r="M64" s="180"/>
    </row>
    <row r="65" spans="1:13" ht="17.25" x14ac:dyDescent="0.3">
      <c r="A65" s="25" t="s">
        <v>61</v>
      </c>
      <c r="B65" s="38">
        <v>837</v>
      </c>
      <c r="C65" s="24" t="s">
        <v>203</v>
      </c>
      <c r="D65" s="18"/>
      <c r="E65" s="18"/>
      <c r="F65" s="18"/>
      <c r="G65" s="18"/>
      <c r="H65" s="18"/>
      <c r="M65" s="180"/>
    </row>
    <row r="66" spans="1:13" ht="18" thickBot="1" x14ac:dyDescent="0.35">
      <c r="A66" s="34" t="s">
        <v>116</v>
      </c>
      <c r="B66" s="39">
        <v>543</v>
      </c>
      <c r="C66" s="30" t="s">
        <v>204</v>
      </c>
      <c r="D66" s="18" t="s">
        <v>104</v>
      </c>
      <c r="E66" s="18"/>
      <c r="F66" s="18"/>
      <c r="G66" s="18"/>
      <c r="H66" s="18"/>
      <c r="M66" s="180"/>
    </row>
    <row r="67" spans="1:13" ht="17.25" x14ac:dyDescent="0.3">
      <c r="A67" s="70" t="s">
        <v>168</v>
      </c>
      <c r="B67" s="87"/>
      <c r="C67" s="71"/>
      <c r="D67" s="18"/>
      <c r="E67" s="18"/>
      <c r="F67" s="18"/>
      <c r="G67" s="18"/>
      <c r="H67" s="18"/>
      <c r="M67" s="180"/>
    </row>
    <row r="68" spans="1:13" ht="17.25" x14ac:dyDescent="0.3">
      <c r="A68" s="72" t="s">
        <v>216</v>
      </c>
      <c r="B68" s="73"/>
      <c r="C68" s="74"/>
      <c r="D68" s="18"/>
      <c r="E68" s="18"/>
      <c r="F68" s="18"/>
      <c r="G68" s="18"/>
      <c r="H68" s="18"/>
      <c r="M68" s="180"/>
    </row>
    <row r="69" spans="1:13" ht="17.25" x14ac:dyDescent="0.3">
      <c r="A69" s="44" t="s">
        <v>67</v>
      </c>
      <c r="B69" s="45" t="s">
        <v>64</v>
      </c>
      <c r="C69" s="46" t="s">
        <v>65</v>
      </c>
      <c r="D69" s="18"/>
      <c r="E69" s="18"/>
      <c r="F69" s="18"/>
      <c r="G69" s="18"/>
      <c r="H69" s="18"/>
      <c r="M69" s="180"/>
    </row>
    <row r="70" spans="1:13" ht="18" thickBot="1" x14ac:dyDescent="0.35">
      <c r="A70" s="34" t="s">
        <v>60</v>
      </c>
      <c r="B70" s="39">
        <v>6070</v>
      </c>
      <c r="C70" s="30" t="s">
        <v>118</v>
      </c>
      <c r="D70" s="18"/>
      <c r="E70" s="18"/>
      <c r="F70" s="18"/>
      <c r="G70" s="18"/>
      <c r="H70" s="18"/>
      <c r="M70" s="180"/>
    </row>
    <row r="71" spans="1:13" ht="17.25" x14ac:dyDescent="0.3">
      <c r="A71" s="67" t="s">
        <v>168</v>
      </c>
      <c r="B71" s="68"/>
      <c r="C71" s="69"/>
      <c r="D71" s="18"/>
      <c r="E71" s="18"/>
      <c r="F71" s="18"/>
      <c r="G71" s="18"/>
      <c r="H71" s="18"/>
      <c r="M71" s="180"/>
    </row>
    <row r="72" spans="1:13" ht="17.25" x14ac:dyDescent="0.3">
      <c r="A72" s="72" t="s">
        <v>217</v>
      </c>
      <c r="B72" s="73"/>
      <c r="C72" s="74"/>
      <c r="D72" s="18"/>
      <c r="E72" s="18"/>
      <c r="F72" s="18"/>
      <c r="G72" s="18"/>
      <c r="H72" s="18"/>
      <c r="M72" s="180"/>
    </row>
    <row r="73" spans="1:13" ht="17.25" x14ac:dyDescent="0.3">
      <c r="A73" s="44" t="s">
        <v>37</v>
      </c>
      <c r="B73" s="45" t="s">
        <v>64</v>
      </c>
      <c r="C73" s="46" t="s">
        <v>65</v>
      </c>
      <c r="D73" s="18"/>
      <c r="E73" s="18"/>
      <c r="F73" s="18"/>
      <c r="G73" s="18"/>
      <c r="H73" s="18"/>
      <c r="M73" s="180"/>
    </row>
    <row r="74" spans="1:13" ht="17.25" x14ac:dyDescent="0.3">
      <c r="A74" s="25">
        <v>0.75</v>
      </c>
      <c r="B74" s="38">
        <v>12140</v>
      </c>
      <c r="C74" s="24" t="s">
        <v>118</v>
      </c>
      <c r="D74" s="18"/>
      <c r="E74" s="18"/>
      <c r="F74" s="18"/>
      <c r="G74" s="18"/>
      <c r="H74" s="18"/>
      <c r="M74" s="180"/>
    </row>
    <row r="75" spans="1:13" ht="17.25" x14ac:dyDescent="0.3">
      <c r="A75" s="25">
        <v>1</v>
      </c>
      <c r="B75" s="38">
        <v>29136</v>
      </c>
      <c r="C75" s="24" t="s">
        <v>118</v>
      </c>
      <c r="D75" s="18"/>
      <c r="E75" s="18"/>
      <c r="F75" s="18"/>
      <c r="G75" s="18"/>
      <c r="H75" s="18"/>
      <c r="M75" s="180"/>
    </row>
    <row r="76" spans="1:13" ht="17.25" x14ac:dyDescent="0.3">
      <c r="A76" s="25">
        <v>1.5</v>
      </c>
      <c r="B76" s="38">
        <v>66770</v>
      </c>
      <c r="C76" s="24" t="s">
        <v>118</v>
      </c>
      <c r="D76" s="18"/>
      <c r="E76" s="18"/>
      <c r="F76" s="18"/>
      <c r="G76" s="18"/>
      <c r="H76" s="18"/>
      <c r="M76" s="180"/>
    </row>
    <row r="77" spans="1:13" ht="17.25" x14ac:dyDescent="0.3">
      <c r="A77" s="25">
        <v>2</v>
      </c>
      <c r="B77" s="38">
        <v>121400</v>
      </c>
      <c r="C77" s="24" t="s">
        <v>118</v>
      </c>
      <c r="D77" s="18"/>
      <c r="E77" s="18"/>
      <c r="F77" s="18"/>
      <c r="G77" s="18"/>
      <c r="H77" s="18"/>
      <c r="M77" s="180"/>
    </row>
    <row r="78" spans="1:13" ht="17.25" x14ac:dyDescent="0.3">
      <c r="A78" s="25">
        <v>3</v>
      </c>
      <c r="B78" s="38">
        <v>261010</v>
      </c>
      <c r="C78" s="24" t="s">
        <v>118</v>
      </c>
      <c r="D78" s="18"/>
      <c r="E78" s="18"/>
      <c r="F78" s="18"/>
      <c r="G78" s="18"/>
      <c r="H78" s="18"/>
      <c r="M78" s="180"/>
    </row>
    <row r="79" spans="1:13" ht="18" thickBot="1" x14ac:dyDescent="0.35">
      <c r="A79" s="34">
        <v>4</v>
      </c>
      <c r="B79" s="39">
        <v>522020</v>
      </c>
      <c r="C79" s="24" t="s">
        <v>118</v>
      </c>
      <c r="D79" s="18"/>
      <c r="E79" s="18"/>
      <c r="F79" s="18"/>
      <c r="G79" s="18"/>
      <c r="H79" s="18"/>
      <c r="M79" s="180"/>
    </row>
    <row r="80" spans="1:13" ht="17.25" x14ac:dyDescent="0.3">
      <c r="A80" s="51" t="s">
        <v>218</v>
      </c>
      <c r="B80" s="75"/>
      <c r="C80" s="66"/>
      <c r="D80" s="18"/>
      <c r="E80" s="18"/>
      <c r="F80" s="18"/>
      <c r="G80" s="18"/>
      <c r="H80" s="18"/>
      <c r="M80" s="180"/>
    </row>
    <row r="81" spans="1:13" ht="17.25" x14ac:dyDescent="0.3">
      <c r="A81" s="43" t="s">
        <v>37</v>
      </c>
      <c r="B81" s="40" t="s">
        <v>64</v>
      </c>
      <c r="C81" s="41" t="s">
        <v>65</v>
      </c>
      <c r="D81" s="18"/>
      <c r="E81" s="18"/>
      <c r="F81" s="18"/>
      <c r="G81" s="18"/>
      <c r="H81" s="18"/>
      <c r="M81" s="180"/>
    </row>
    <row r="82" spans="1:13" ht="17.25" x14ac:dyDescent="0.3">
      <c r="A82" s="25">
        <v>0.75</v>
      </c>
      <c r="B82" s="38">
        <v>4975</v>
      </c>
      <c r="C82" s="24" t="s">
        <v>118</v>
      </c>
      <c r="D82" s="18"/>
      <c r="E82" s="18"/>
      <c r="F82" s="18"/>
      <c r="G82" s="18"/>
      <c r="H82" s="18"/>
      <c r="M82" s="180"/>
    </row>
    <row r="83" spans="1:13" ht="17.25" x14ac:dyDescent="0.3">
      <c r="A83" s="25">
        <v>1</v>
      </c>
      <c r="B83" s="38">
        <v>8308</v>
      </c>
      <c r="C83" s="24" t="s">
        <v>118</v>
      </c>
      <c r="D83" s="18"/>
      <c r="E83" s="18"/>
      <c r="F83" s="18"/>
      <c r="G83" s="18"/>
      <c r="H83" s="18"/>
      <c r="M83" s="180"/>
    </row>
    <row r="84" spans="1:13" ht="17.25" x14ac:dyDescent="0.3">
      <c r="A84" s="25">
        <v>1.5</v>
      </c>
      <c r="B84" s="38">
        <v>16567</v>
      </c>
      <c r="C84" s="24" t="s">
        <v>118</v>
      </c>
      <c r="D84" s="18"/>
      <c r="E84" s="18"/>
      <c r="F84" s="18"/>
      <c r="G84" s="18"/>
      <c r="H84" s="18"/>
      <c r="M84" s="180"/>
    </row>
    <row r="85" spans="1:13" ht="17.25" x14ac:dyDescent="0.3">
      <c r="A85" s="25">
        <v>2</v>
      </c>
      <c r="B85" s="38">
        <v>26516</v>
      </c>
      <c r="C85" s="24" t="s">
        <v>118</v>
      </c>
      <c r="D85" s="18"/>
      <c r="E85" s="18"/>
      <c r="F85" s="18"/>
      <c r="G85" s="18"/>
      <c r="H85" s="18"/>
      <c r="M85" s="180"/>
    </row>
    <row r="86" spans="1:13" ht="17.25" x14ac:dyDescent="0.3">
      <c r="A86" s="25">
        <v>3</v>
      </c>
      <c r="B86" s="38">
        <v>53082</v>
      </c>
      <c r="C86" s="24" t="s">
        <v>118</v>
      </c>
      <c r="D86" s="18"/>
      <c r="E86" s="18"/>
      <c r="F86" s="18"/>
      <c r="G86" s="18"/>
      <c r="H86" s="18"/>
      <c r="M86" s="180"/>
    </row>
    <row r="87" spans="1:13" ht="18" thickBot="1" x14ac:dyDescent="0.35">
      <c r="A87" s="34">
        <v>4</v>
      </c>
      <c r="B87" s="39">
        <v>82931</v>
      </c>
      <c r="C87" s="24" t="s">
        <v>118</v>
      </c>
      <c r="D87" s="18"/>
      <c r="E87" s="18"/>
      <c r="F87" s="18"/>
      <c r="G87" s="18"/>
      <c r="H87" s="18"/>
      <c r="M87" s="180"/>
    </row>
    <row r="88" spans="1:13" ht="17.25" x14ac:dyDescent="0.3">
      <c r="A88" s="67" t="s">
        <v>72</v>
      </c>
      <c r="B88" s="68"/>
      <c r="C88" s="69"/>
      <c r="D88" s="18"/>
      <c r="E88" s="18"/>
      <c r="F88" s="18"/>
      <c r="G88" s="18"/>
      <c r="H88" s="18"/>
      <c r="M88" s="180"/>
    </row>
    <row r="89" spans="1:13" ht="17.25" x14ac:dyDescent="0.3">
      <c r="A89" s="72" t="s">
        <v>219</v>
      </c>
      <c r="B89" s="73"/>
      <c r="C89" s="74"/>
      <c r="D89" s="18"/>
      <c r="E89" s="18"/>
      <c r="F89" s="18"/>
      <c r="G89" s="18"/>
      <c r="H89" s="18"/>
      <c r="M89" s="180"/>
    </row>
    <row r="90" spans="1:13" ht="17.25" x14ac:dyDescent="0.3">
      <c r="A90" s="44" t="s">
        <v>67</v>
      </c>
      <c r="B90" s="45" t="s">
        <v>64</v>
      </c>
      <c r="C90" s="46" t="s">
        <v>65</v>
      </c>
      <c r="D90" s="18"/>
      <c r="E90" s="18"/>
      <c r="F90" s="18"/>
      <c r="G90" s="18"/>
      <c r="H90" s="18"/>
      <c r="M90" s="180"/>
    </row>
    <row r="91" spans="1:13" ht="17.25" x14ac:dyDescent="0.3">
      <c r="A91" s="25" t="s">
        <v>10</v>
      </c>
      <c r="B91" s="38">
        <v>5488</v>
      </c>
      <c r="C91" s="24" t="s">
        <v>45</v>
      </c>
      <c r="D91" s="18"/>
      <c r="E91" s="18"/>
      <c r="F91" s="18"/>
      <c r="G91" s="18"/>
      <c r="H91" s="18"/>
      <c r="M91" s="180"/>
    </row>
    <row r="92" spans="1:13" ht="17.25" x14ac:dyDescent="0.3">
      <c r="A92" s="25" t="s">
        <v>12</v>
      </c>
      <c r="B92" s="38">
        <v>2744</v>
      </c>
      <c r="C92" s="24" t="s">
        <v>45</v>
      </c>
      <c r="D92" s="18"/>
      <c r="E92" s="18"/>
      <c r="F92" s="18"/>
      <c r="G92" s="18"/>
      <c r="H92" s="18"/>
      <c r="M92" s="180"/>
    </row>
    <row r="93" spans="1:13" ht="18" thickBot="1" x14ac:dyDescent="0.35">
      <c r="A93" s="34" t="s">
        <v>62</v>
      </c>
      <c r="B93" s="39">
        <v>1.03</v>
      </c>
      <c r="C93" s="30" t="s">
        <v>169</v>
      </c>
      <c r="D93" s="18" t="s">
        <v>104</v>
      </c>
      <c r="E93" s="18"/>
      <c r="F93" s="18"/>
      <c r="G93" s="18"/>
      <c r="H93" s="18"/>
      <c r="M93" s="180"/>
    </row>
    <row r="94" spans="1:13" ht="17.25" x14ac:dyDescent="0.3">
      <c r="A94" s="61" t="s">
        <v>220</v>
      </c>
      <c r="B94" s="62"/>
      <c r="C94" s="63"/>
      <c r="D94" s="93"/>
      <c r="E94" s="18"/>
      <c r="F94" s="18"/>
      <c r="G94" s="18"/>
      <c r="H94" s="18"/>
      <c r="M94" s="180"/>
    </row>
    <row r="95" spans="1:13" ht="17.25" x14ac:dyDescent="0.3">
      <c r="A95" s="92" t="s">
        <v>66</v>
      </c>
      <c r="B95" s="88" t="s">
        <v>64</v>
      </c>
      <c r="C95" s="46" t="s">
        <v>65</v>
      </c>
      <c r="E95" s="18"/>
      <c r="F95" s="18"/>
      <c r="G95" s="18"/>
      <c r="H95" s="18"/>
      <c r="M95" s="180"/>
    </row>
    <row r="96" spans="1:13" ht="17.25" x14ac:dyDescent="0.3">
      <c r="A96" s="22" t="s">
        <v>51</v>
      </c>
      <c r="B96" s="83">
        <v>41189</v>
      </c>
      <c r="C96" s="24" t="s">
        <v>45</v>
      </c>
      <c r="E96" s="18"/>
      <c r="F96" s="18"/>
      <c r="G96" s="18"/>
      <c r="H96" s="18"/>
      <c r="M96" s="180"/>
    </row>
    <row r="97" spans="1:13" ht="17.25" x14ac:dyDescent="0.3">
      <c r="A97" s="22" t="s">
        <v>52</v>
      </c>
      <c r="B97" s="83">
        <v>39901</v>
      </c>
      <c r="C97" s="24" t="s">
        <v>45</v>
      </c>
      <c r="E97" s="18"/>
      <c r="F97" s="18"/>
      <c r="G97" s="18"/>
      <c r="H97" s="18"/>
      <c r="M97" s="180"/>
    </row>
    <row r="98" spans="1:13" ht="17.25" x14ac:dyDescent="0.3">
      <c r="A98" s="22" t="s">
        <v>53</v>
      </c>
      <c r="B98" s="83">
        <v>33466</v>
      </c>
      <c r="C98" s="24" t="s">
        <v>45</v>
      </c>
      <c r="E98" s="18"/>
      <c r="F98" s="18"/>
      <c r="G98" s="18"/>
      <c r="H98" s="18"/>
      <c r="M98" s="180"/>
    </row>
    <row r="99" spans="1:13" ht="17.25" x14ac:dyDescent="0.3">
      <c r="A99" s="22" t="s">
        <v>54</v>
      </c>
      <c r="B99" s="83">
        <v>32822</v>
      </c>
      <c r="C99" s="24" t="s">
        <v>45</v>
      </c>
      <c r="E99" s="18"/>
      <c r="F99" s="18"/>
      <c r="G99" s="18"/>
      <c r="H99" s="18"/>
      <c r="M99" s="180"/>
    </row>
    <row r="100" spans="1:13" ht="17.25" x14ac:dyDescent="0.3">
      <c r="A100" s="22" t="s">
        <v>59</v>
      </c>
      <c r="B100" s="83">
        <v>29604</v>
      </c>
      <c r="C100" s="24" t="s">
        <v>45</v>
      </c>
      <c r="E100" s="18"/>
      <c r="F100" s="18"/>
      <c r="G100" s="18"/>
      <c r="H100" s="18"/>
      <c r="M100" s="180"/>
    </row>
    <row r="101" spans="1:13" ht="17.25" x14ac:dyDescent="0.3">
      <c r="A101" s="22" t="s">
        <v>55</v>
      </c>
      <c r="B101" s="83">
        <v>28317</v>
      </c>
      <c r="C101" s="24" t="s">
        <v>45</v>
      </c>
      <c r="E101" s="18"/>
      <c r="F101" s="18"/>
      <c r="G101" s="18"/>
      <c r="H101" s="18"/>
      <c r="M101" s="180"/>
    </row>
    <row r="102" spans="1:13" ht="17.25" x14ac:dyDescent="0.3">
      <c r="A102" s="22" t="s">
        <v>56</v>
      </c>
      <c r="B102" s="83">
        <v>27674</v>
      </c>
      <c r="C102" s="24" t="s">
        <v>45</v>
      </c>
      <c r="E102" s="18"/>
      <c r="F102" s="18"/>
      <c r="G102" s="18"/>
      <c r="H102" s="18"/>
      <c r="M102" s="180"/>
    </row>
    <row r="103" spans="1:13" ht="17.25" x14ac:dyDescent="0.3">
      <c r="A103" s="22" t="s">
        <v>57</v>
      </c>
      <c r="B103" s="83">
        <v>27030</v>
      </c>
      <c r="C103" s="24" t="s">
        <v>45</v>
      </c>
      <c r="E103" s="18"/>
      <c r="F103" s="18"/>
      <c r="G103" s="18"/>
      <c r="H103" s="18"/>
    </row>
    <row r="104" spans="1:13" ht="17.25" x14ac:dyDescent="0.3">
      <c r="A104" s="79" t="s">
        <v>58</v>
      </c>
      <c r="B104" s="83">
        <v>25743</v>
      </c>
      <c r="C104" s="24" t="s">
        <v>45</v>
      </c>
      <c r="E104" s="18"/>
      <c r="F104" s="18"/>
      <c r="G104" s="18"/>
      <c r="H104" s="18"/>
    </row>
    <row r="105" spans="1:13" ht="17.25" x14ac:dyDescent="0.3">
      <c r="A105" s="79" t="s">
        <v>11</v>
      </c>
      <c r="B105" s="83">
        <v>19307</v>
      </c>
      <c r="C105" s="24" t="s">
        <v>45</v>
      </c>
      <c r="E105" s="18"/>
      <c r="F105" s="18"/>
      <c r="G105" s="18"/>
      <c r="H105" s="18"/>
    </row>
    <row r="106" spans="1:13" ht="18" thickBot="1" x14ac:dyDescent="0.35">
      <c r="A106" s="111" t="s">
        <v>102</v>
      </c>
      <c r="B106" s="112">
        <v>64357</v>
      </c>
      <c r="C106" s="48" t="s">
        <v>103</v>
      </c>
      <c r="D106" t="s">
        <v>104</v>
      </c>
      <c r="E106" s="18" t="s">
        <v>104</v>
      </c>
      <c r="F106" s="18"/>
      <c r="G106" s="18"/>
    </row>
    <row r="107" spans="1:13" ht="17.25" x14ac:dyDescent="0.3">
      <c r="A107" s="67" t="s">
        <v>120</v>
      </c>
      <c r="B107" s="68"/>
      <c r="C107" s="97"/>
      <c r="E107" s="18"/>
      <c r="F107" s="18"/>
      <c r="G107" s="18"/>
    </row>
    <row r="108" spans="1:13" ht="15.75" x14ac:dyDescent="0.25">
      <c r="A108" s="70" t="s">
        <v>68</v>
      </c>
      <c r="B108" s="87"/>
      <c r="C108" s="100"/>
    </row>
    <row r="109" spans="1:13" ht="16.5" thickBot="1" x14ac:dyDescent="0.3">
      <c r="A109" s="108" t="s">
        <v>123</v>
      </c>
      <c r="B109" s="109"/>
      <c r="C109" s="110"/>
    </row>
    <row r="110" spans="1:13" ht="17.25" x14ac:dyDescent="0.3">
      <c r="A110" s="44" t="s">
        <v>37</v>
      </c>
      <c r="B110" s="46" t="s">
        <v>64</v>
      </c>
      <c r="C110" s="46" t="s">
        <v>65</v>
      </c>
    </row>
    <row r="111" spans="1:13" ht="17.25" x14ac:dyDescent="0.3">
      <c r="A111" s="25">
        <v>0.75</v>
      </c>
      <c r="B111" s="35">
        <v>15227</v>
      </c>
      <c r="C111" s="24" t="s">
        <v>118</v>
      </c>
    </row>
    <row r="112" spans="1:13" ht="17.25" x14ac:dyDescent="0.3">
      <c r="A112" s="25">
        <v>1</v>
      </c>
      <c r="B112" s="35">
        <v>25379</v>
      </c>
      <c r="C112" s="24" t="s">
        <v>118</v>
      </c>
      <c r="D112" s="18"/>
    </row>
    <row r="113" spans="1:4" ht="17.25" x14ac:dyDescent="0.3">
      <c r="A113" s="25">
        <v>1.5</v>
      </c>
      <c r="B113" s="35">
        <v>50757</v>
      </c>
      <c r="C113" s="24" t="s">
        <v>118</v>
      </c>
      <c r="D113" s="18"/>
    </row>
    <row r="114" spans="1:4" ht="17.25" x14ac:dyDescent="0.3">
      <c r="A114" s="25">
        <v>2</v>
      </c>
      <c r="B114" s="35">
        <v>51212</v>
      </c>
      <c r="C114" s="24" t="s">
        <v>118</v>
      </c>
      <c r="D114" s="18"/>
    </row>
    <row r="115" spans="1:4" ht="17.25" x14ac:dyDescent="0.3">
      <c r="A115" s="25">
        <v>3</v>
      </c>
      <c r="B115" s="35">
        <v>177653</v>
      </c>
      <c r="C115" s="24" t="s">
        <v>118</v>
      </c>
      <c r="D115" s="18"/>
    </row>
    <row r="116" spans="1:4" ht="18" thickBot="1" x14ac:dyDescent="0.35">
      <c r="A116" s="49">
        <v>4</v>
      </c>
      <c r="B116" s="50">
        <v>304547</v>
      </c>
      <c r="C116" s="24" t="s">
        <v>118</v>
      </c>
      <c r="D116" s="18"/>
    </row>
    <row r="117" spans="1:4" ht="15.75" x14ac:dyDescent="0.25">
      <c r="A117" s="67" t="s">
        <v>120</v>
      </c>
      <c r="B117" s="68"/>
      <c r="C117" s="97"/>
    </row>
    <row r="118" spans="1:4" ht="15.75" x14ac:dyDescent="0.25">
      <c r="A118" s="70" t="s">
        <v>68</v>
      </c>
      <c r="B118" s="87"/>
      <c r="C118" s="100"/>
    </row>
    <row r="119" spans="1:4" ht="16.5" thickBot="1" x14ac:dyDescent="0.3">
      <c r="A119" s="108" t="s">
        <v>124</v>
      </c>
      <c r="B119" s="109"/>
      <c r="C119" s="110"/>
    </row>
    <row r="120" spans="1:4" ht="17.25" x14ac:dyDescent="0.3">
      <c r="A120" s="85" t="s">
        <v>50</v>
      </c>
      <c r="B120" s="86">
        <v>15227</v>
      </c>
      <c r="C120" s="24" t="s">
        <v>203</v>
      </c>
    </row>
    <row r="121" spans="1:4" ht="18" thickBot="1" x14ac:dyDescent="0.35">
      <c r="A121" s="49" t="s">
        <v>116</v>
      </c>
      <c r="B121" s="50">
        <v>9136</v>
      </c>
      <c r="C121" s="30" t="s">
        <v>204</v>
      </c>
      <c r="D121" t="s">
        <v>104</v>
      </c>
    </row>
    <row r="122" spans="1:4" ht="17.25" x14ac:dyDescent="0.3">
      <c r="A122" s="61" t="s">
        <v>139</v>
      </c>
      <c r="B122" s="98"/>
      <c r="C122" s="99"/>
    </row>
    <row r="123" spans="1:4" ht="17.25" x14ac:dyDescent="0.3">
      <c r="A123" s="43" t="s">
        <v>67</v>
      </c>
      <c r="B123" s="40" t="s">
        <v>64</v>
      </c>
      <c r="C123" s="41" t="s">
        <v>65</v>
      </c>
    </row>
    <row r="124" spans="1:4" ht="17.25" x14ac:dyDescent="0.3">
      <c r="A124" s="25" t="s">
        <v>221</v>
      </c>
      <c r="B124" s="101" t="s">
        <v>117</v>
      </c>
      <c r="C124" s="24" t="s">
        <v>125</v>
      </c>
    </row>
    <row r="125" spans="1:4" ht="17.25" x14ac:dyDescent="0.3">
      <c r="A125" s="25" t="s">
        <v>222</v>
      </c>
      <c r="B125" s="38">
        <v>126</v>
      </c>
      <c r="C125" s="24" t="s">
        <v>45</v>
      </c>
    </row>
    <row r="126" spans="1:4" ht="17.25" x14ac:dyDescent="0.3">
      <c r="A126" s="25" t="s">
        <v>223</v>
      </c>
      <c r="B126" s="38">
        <v>50</v>
      </c>
      <c r="C126" s="24" t="s">
        <v>118</v>
      </c>
    </row>
    <row r="127" spans="1:4" ht="18" thickBot="1" x14ac:dyDescent="0.35">
      <c r="A127" s="34" t="s">
        <v>224</v>
      </c>
      <c r="B127" s="39">
        <v>50</v>
      </c>
      <c r="C127" s="30" t="s">
        <v>45</v>
      </c>
    </row>
    <row r="128" spans="1:4" ht="17.25" x14ac:dyDescent="0.3">
      <c r="A128" s="18"/>
      <c r="B128" s="18"/>
    </row>
    <row r="129" spans="1:11" ht="17.25" x14ac:dyDescent="0.3">
      <c r="A129" s="18"/>
      <c r="B129" s="18"/>
    </row>
    <row r="130" spans="1:11" ht="17.25" x14ac:dyDescent="0.3">
      <c r="A130" s="18"/>
      <c r="B130" s="18"/>
    </row>
    <row r="131" spans="1:11" ht="17.25" x14ac:dyDescent="0.3">
      <c r="A131" s="18"/>
      <c r="B131" s="18"/>
      <c r="K131" s="18"/>
    </row>
    <row r="132" spans="1:11" ht="17.25" x14ac:dyDescent="0.3">
      <c r="A132" s="18"/>
      <c r="B132" s="18"/>
      <c r="K132" s="18"/>
    </row>
    <row r="133" spans="1:11" ht="17.25" x14ac:dyDescent="0.3">
      <c r="A133" s="82"/>
      <c r="B133" s="18"/>
      <c r="K133" s="18"/>
    </row>
    <row r="134" spans="1:11" ht="17.25" x14ac:dyDescent="0.3">
      <c r="K134" s="18"/>
    </row>
    <row r="135" spans="1:11" ht="17.25" x14ac:dyDescent="0.3">
      <c r="K135" s="18"/>
    </row>
    <row r="136" spans="1:11" ht="17.25" x14ac:dyDescent="0.3">
      <c r="K136" s="18"/>
    </row>
    <row r="137" spans="1:11" ht="17.25" x14ac:dyDescent="0.3">
      <c r="K137" s="18"/>
    </row>
    <row r="138" spans="1:11" ht="17.25" x14ac:dyDescent="0.3">
      <c r="K138" s="18"/>
    </row>
    <row r="139" spans="1:11" ht="17.25" x14ac:dyDescent="0.3">
      <c r="K139" s="18"/>
    </row>
    <row r="140" spans="1:11" ht="17.25" x14ac:dyDescent="0.3">
      <c r="K140" s="18"/>
    </row>
    <row r="162" spans="1:1" x14ac:dyDescent="0.25">
      <c r="A162" s="11"/>
    </row>
  </sheetData>
  <sheetProtection algorithmName="SHA-512" hashValue="k+5imPbQgTV+ND9K3S/EilsxFC6wbBcyHYoJkjSNRFs0aTAj2WV2y1traL4eG5cZNvKHa8pzkzucf68oSzPpKg==" saltValue="vjkKwBqpOnStSn3q9+6EHA==" spinCount="100000" sheet="1" objects="1" scenarios="1" formatColumns="0"/>
  <pageMargins left="0.7" right="0.7" top="0.75" bottom="0.75" header="0.3" footer="0.3"/>
  <pageSetup orientation="portrait" r:id="rId1"/>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11</vt:i4>
      </vt:variant>
    </vt:vector>
  </HeadingPairs>
  <TitlesOfParts>
    <vt:vector size="14" baseType="lpstr">
      <vt:lpstr>Calculator</vt:lpstr>
      <vt:lpstr>Instructions</vt:lpstr>
      <vt:lpstr>Data</vt:lpstr>
      <vt:lpstr>Multi_Unit</vt:lpstr>
      <vt:lpstr>No</vt:lpstr>
      <vt:lpstr>Calculator!Print_Area</vt:lpstr>
      <vt:lpstr>ProjectType</vt:lpstr>
      <vt:lpstr>Residential</vt:lpstr>
      <vt:lpstr>tap</vt:lpstr>
      <vt:lpstr>TapsDD</vt:lpstr>
      <vt:lpstr>UnitsDD</vt:lpstr>
      <vt:lpstr>WaterDistrictDD</vt:lpstr>
      <vt:lpstr>Yes</vt:lpstr>
      <vt:lpstr>YesNo</vt:lpstr>
    </vt:vector>
  </TitlesOfParts>
  <Company>City of Brighton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Waines, Jon</dc:creator>
  <cp:lastModifiedBy>Waines, Jon</cp:lastModifiedBy>
  <cp:lastPrinted>2025-01-07T18:48:02Z</cp:lastPrinted>
  <dcterms:created xsi:type="dcterms:W3CDTF">2025-01-07T17:08:54Z</dcterms:created>
  <dcterms:modified xsi:type="dcterms:W3CDTF">2026-01-06T15:30:54Z</dcterms:modified>
</cp:coreProperties>
</file>